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ycharat\Desktop\"/>
    </mc:Choice>
  </mc:AlternateContent>
  <xr:revisionPtr revIDLastSave="0" documentId="13_ncr:1_{D45B7A2C-7D76-4ACE-865D-E359DDFBE2FA}" xr6:coauthVersionLast="45" xr6:coauthVersionMax="45" xr10:uidLastSave="{00000000-0000-0000-0000-000000000000}"/>
  <bookViews>
    <workbookView xWindow="-120" yWindow="-120" windowWidth="29040" windowHeight="15840" activeTab="6" xr2:uid="{00000000-000D-0000-FFFF-FFFF00000000}"/>
  </bookViews>
  <sheets>
    <sheet name="52-62 (2)" sheetId="31" r:id="rId1"/>
    <sheet name="52-60 (2)" sheetId="32" r:id="rId2"/>
    <sheet name="52-60" sheetId="1" r:id="rId3"/>
    <sheet name="Sheet2" sheetId="33" r:id="rId4"/>
    <sheet name="ปรับปรุง ปี 63-1" sheetId="34" r:id="rId5"/>
    <sheet name="ปรับปรุง ปี 63-2 ฉบับจริง" sheetId="35" r:id="rId6"/>
    <sheet name="ปรับปรุง ปี 63-3 (ก.ค.)" sheetId="36" r:id="rId7"/>
    <sheet name="สำหรับพัสดุสายอื่นๆ " sheetId="3" state="hidden" r:id="rId8"/>
    <sheet name="แผ่น33" sheetId="4" state="hidden" r:id="rId9"/>
    <sheet name="52-62 (สำหรับ จก.ตรวจเยี่ยม)" sheetId="5" state="hidden" r:id="rId10"/>
    <sheet name="สำเนาของ 52-62 (สำหรับ จก.ตรวจเ" sheetId="6" state="hidden" r:id="rId11"/>
    <sheet name="ตรวจเช็คความพร้อม" sheetId="7" state="hidden" r:id="rId12"/>
    <sheet name="ตรวจสอบเลขคุณลักษณะ" sheetId="8" state="hidden" r:id="rId13"/>
    <sheet name="คู่มือการใช้งาน" sheetId="9" state="hidden" r:id="rId14"/>
    <sheet name="คู่มือการใช้งานสำหรับผู้ดูแลระบ" sheetId="10" state="hidden" r:id="rId15"/>
    <sheet name="การจัดทำ spec." sheetId="11" state="hidden" r:id="rId16"/>
    <sheet name="ตรวจสอบอักขระ" sheetId="12" state="hidden" r:id="rId17"/>
    <sheet name="ใบปะหน้า" sheetId="13" state="hidden" r:id="rId18"/>
    <sheet name="filter-1" sheetId="14" state="hidden" r:id="rId19"/>
    <sheet name="Spec ที่ยกเลิกแล้ว" sheetId="15" state="hidden" r:id="rId20"/>
    <sheet name="เลขSpec.2 ตัวแรก" sheetId="16" state="hidden" r:id="rId21"/>
    <sheet name="จำแนกข้อมูล" sheetId="18" state="hidden" r:id="rId22"/>
    <sheet name="SPEC รอพิจารณา" sheetId="19" state="hidden" r:id="rId23"/>
    <sheet name="มาตรฐานต่างๆ" sheetId="20" state="hidden" r:id="rId24"/>
    <sheet name="สถิติประชุม ปี 60 " sheetId="21" state="hidden" r:id="rId25"/>
    <sheet name="สถิติประชุม Spec. ปี 61" sheetId="22" state="hidden" r:id="rId26"/>
    <sheet name="สถิติประชุม Spec. ปี 62" sheetId="23" state="hidden" r:id="rId27"/>
    <sheet name="back up ข้อมูลสำนักงบ" sheetId="24" state="hidden" r:id="rId28"/>
    <sheet name="สถิติประชุมคำแนะนำ ปี 60" sheetId="25" state="hidden" r:id="rId29"/>
    <sheet name="สถิติประชุมคำแนะนำ ปี 61" sheetId="26" state="hidden" r:id="rId30"/>
    <sheet name="สถิติประชุมคำแนะนำ ปี 62" sheetId="27" state="hidden" r:id="rId31"/>
    <sheet name="Link รายชื่อ" sheetId="28" state="hidden" r:id="rId32"/>
    <sheet name="บันทึกปัญหาที่พบ" sheetId="29" state="hidden" r:id="rId33"/>
  </sheets>
  <externalReferences>
    <externalReference r:id="rId34"/>
    <externalReference r:id="rId35"/>
  </externalReferences>
  <definedNames>
    <definedName name="_xlnm._FilterDatabase" localSheetId="2" hidden="1">'52-60'!$A$1:$Z$414</definedName>
    <definedName name="_xlnm._FilterDatabase" localSheetId="1" hidden="1">'52-60 (2)'!$A$1:$Z$414</definedName>
    <definedName name="_xlnm._FilterDatabase" localSheetId="0" hidden="1">'52-62 (2)'!$A$1:$H$440</definedName>
    <definedName name="_xlnm._FilterDatabase" localSheetId="9" hidden="1">'52-62 (สำหรับ จก.ตรวจเยี่ยม)'!$A$1:$Z$408</definedName>
    <definedName name="_xlnm._FilterDatabase" localSheetId="18" hidden="1">'filter-1'!$A$2:$U$20</definedName>
    <definedName name="_xlnm._FilterDatabase" localSheetId="19" hidden="1">'Spec ที่ยกเลิกแล้ว'!$A$1:$AA$1148</definedName>
    <definedName name="_xlnm._FilterDatabase" localSheetId="22" hidden="1">'SPEC รอพิจารณา'!$A$1:$N$115</definedName>
    <definedName name="_xlnm._FilterDatabase" localSheetId="11" hidden="1">ตรวจเช็คความพร้อม!$A$1:$T$23</definedName>
    <definedName name="_xlnm._FilterDatabase" localSheetId="4" hidden="1">'ปรับปรุง ปี 63-1'!$A$1:$H$170</definedName>
    <definedName name="_xlnm._FilterDatabase" localSheetId="5" hidden="1">'ปรับปรุง ปี 63-2 ฉบับจริง'!$A$1:$H$169</definedName>
    <definedName name="_xlnm._FilterDatabase" localSheetId="6" hidden="1">'ปรับปรุง ปี 63-3 (ก.ค.)'!$A$1:$H$177</definedName>
    <definedName name="_xlnm._FilterDatabase" localSheetId="8" hidden="1">แผ่น33!$A$1:$F$53</definedName>
    <definedName name="_xlnm._FilterDatabase" localSheetId="23" hidden="1">มาตรฐานต่างๆ!$A$1:$A$10</definedName>
    <definedName name="_xlnm._FilterDatabase" localSheetId="10" hidden="1">'สำเนาของ 52-62 (สำหรับ จก.ตรวจเ'!$A$1:$Z$408</definedName>
    <definedName name="_xlnm._FilterDatabase" localSheetId="7" hidden="1">'สำหรับพัสดุสายอื่นๆ '!$A$1:$Z$202</definedName>
    <definedName name="_xlnm.Print_Titles" localSheetId="0">'52-62 (2)'!$1:$1</definedName>
    <definedName name="Z_B51D9BAD_529B_441D_987F_3040C9EC8359_.wvu.FilterData" localSheetId="19" hidden="1">'Spec ที่ยกเลิกแล้ว'!$C$1:$S$1021</definedName>
  </definedNames>
  <calcPr calcId="191029"/>
</workbook>
</file>

<file path=xl/calcChain.xml><?xml version="1.0" encoding="utf-8"?>
<calcChain xmlns="http://schemas.openxmlformats.org/spreadsheetml/2006/main">
  <c r="B22" i="27" l="1"/>
  <c r="B21" i="27"/>
  <c r="B20" i="27"/>
  <c r="B19" i="27"/>
  <c r="B18" i="27"/>
  <c r="B17" i="27"/>
  <c r="B16" i="27"/>
  <c r="B14" i="27"/>
  <c r="B13" i="27"/>
  <c r="B12" i="27"/>
  <c r="B11" i="27"/>
  <c r="B10" i="27"/>
  <c r="B9" i="27"/>
  <c r="B8" i="27"/>
  <c r="B7" i="27"/>
  <c r="B6" i="27"/>
  <c r="B5" i="27"/>
  <c r="B4" i="27"/>
  <c r="B3" i="27"/>
  <c r="B22" i="26"/>
  <c r="B21" i="26"/>
  <c r="B20" i="26"/>
  <c r="B19" i="26"/>
  <c r="B18" i="26"/>
  <c r="B17" i="26"/>
  <c r="B16" i="26"/>
  <c r="B14" i="26"/>
  <c r="B13" i="26"/>
  <c r="B12" i="26"/>
  <c r="B11" i="26"/>
  <c r="B10" i="26"/>
  <c r="B9" i="26"/>
  <c r="B8" i="26"/>
  <c r="B7" i="26"/>
  <c r="B6" i="26"/>
  <c r="B5" i="26"/>
  <c r="B4" i="26"/>
  <c r="B3" i="26"/>
  <c r="B22" i="25"/>
  <c r="B21" i="25"/>
  <c r="B20" i="25"/>
  <c r="B19" i="25"/>
  <c r="B18" i="25"/>
  <c r="B17" i="25"/>
  <c r="B16" i="25"/>
  <c r="B14" i="25"/>
  <c r="B13" i="25"/>
  <c r="B12" i="25"/>
  <c r="B11" i="25"/>
  <c r="B10" i="25"/>
  <c r="B9" i="25"/>
  <c r="B8" i="25"/>
  <c r="B7" i="25"/>
  <c r="B6" i="25"/>
  <c r="B5" i="25"/>
  <c r="B4" i="25"/>
  <c r="B3" i="25"/>
  <c r="BC32" i="23"/>
  <c r="BB32" i="23"/>
  <c r="BA32" i="23"/>
  <c r="AZ32" i="23"/>
  <c r="AY32" i="23"/>
  <c r="AX32" i="23"/>
  <c r="AW32" i="23"/>
  <c r="AV32" i="23"/>
  <c r="AU32" i="23"/>
  <c r="AT32" i="23"/>
  <c r="AS32" i="23"/>
  <c r="AR32" i="23"/>
  <c r="AQ32" i="23"/>
  <c r="AP32" i="23"/>
  <c r="AO32" i="23"/>
  <c r="AN32" i="23"/>
  <c r="AM32" i="23"/>
  <c r="AL32" i="23"/>
  <c r="AK32" i="23"/>
  <c r="AJ32" i="23"/>
  <c r="AI32" i="23"/>
  <c r="AH32" i="23"/>
  <c r="AG32" i="23"/>
  <c r="AF32" i="23"/>
  <c r="AE32" i="23"/>
  <c r="AD32" i="23"/>
  <c r="AC32" i="23"/>
  <c r="AB32" i="23"/>
  <c r="AA32" i="23"/>
  <c r="Z32" i="23"/>
  <c r="Y32" i="23"/>
  <c r="X32" i="23"/>
  <c r="W32" i="23"/>
  <c r="V32" i="23"/>
  <c r="U32" i="23"/>
  <c r="T32" i="23"/>
  <c r="S32" i="23"/>
  <c r="R32" i="23"/>
  <c r="Q32" i="23"/>
  <c r="P32" i="23"/>
  <c r="O32" i="23"/>
  <c r="N32" i="23"/>
  <c r="M32" i="23"/>
  <c r="L32" i="23"/>
  <c r="K32" i="23"/>
  <c r="J32" i="23"/>
  <c r="I32" i="23"/>
  <c r="H32" i="23"/>
  <c r="G32" i="23"/>
  <c r="F32" i="23"/>
  <c r="E32" i="23"/>
  <c r="C31" i="23"/>
  <c r="C30" i="23"/>
  <c r="D1" i="23"/>
  <c r="C29" i="23"/>
  <c r="C28" i="23"/>
  <c r="D28" i="23" s="1"/>
  <c r="C27" i="23"/>
  <c r="C26" i="23"/>
  <c r="D26" i="23" s="1"/>
  <c r="C25" i="23"/>
  <c r="C24" i="23"/>
  <c r="D24" i="23" s="1"/>
  <c r="C23" i="23"/>
  <c r="C22" i="23"/>
  <c r="D22" i="23" s="1"/>
  <c r="C21" i="23"/>
  <c r="C20" i="23"/>
  <c r="D20" i="23" s="1"/>
  <c r="C19" i="23"/>
  <c r="BB16" i="23"/>
  <c r="BB17" i="23" s="1"/>
  <c r="BA16" i="23"/>
  <c r="BA17" i="23" s="1"/>
  <c r="AX16" i="23"/>
  <c r="AX17" i="23" s="1"/>
  <c r="AW16" i="23"/>
  <c r="AW17" i="23" s="1"/>
  <c r="AT16" i="23"/>
  <c r="AT17" i="23" s="1"/>
  <c r="AS16" i="23"/>
  <c r="AS17" i="23" s="1"/>
  <c r="AP16" i="23"/>
  <c r="AP17" i="23" s="1"/>
  <c r="AO16" i="23"/>
  <c r="AO17" i="23" s="1"/>
  <c r="AL16" i="23"/>
  <c r="AL17" i="23" s="1"/>
  <c r="AK16" i="23"/>
  <c r="AK17" i="23" s="1"/>
  <c r="AH16" i="23"/>
  <c r="AH17" i="23" s="1"/>
  <c r="AG16" i="23"/>
  <c r="AG17" i="23" s="1"/>
  <c r="AC16" i="23"/>
  <c r="AC17" i="23" s="1"/>
  <c r="AB16" i="23"/>
  <c r="AB17" i="23" s="1"/>
  <c r="Y16" i="23"/>
  <c r="Y17" i="23" s="1"/>
  <c r="X16" i="23"/>
  <c r="X17" i="23" s="1"/>
  <c r="U16" i="23"/>
  <c r="U17" i="23" s="1"/>
  <c r="T16" i="23"/>
  <c r="T17" i="23" s="1"/>
  <c r="Q16" i="23"/>
  <c r="Q17" i="23"/>
  <c r="P16" i="23"/>
  <c r="P17" i="23" s="1"/>
  <c r="M16" i="23"/>
  <c r="M17" i="23" s="1"/>
  <c r="L16" i="23"/>
  <c r="L17" i="23" s="1"/>
  <c r="I16" i="23"/>
  <c r="I17" i="23" s="1"/>
  <c r="H16" i="23"/>
  <c r="H17" i="23" s="1"/>
  <c r="E16" i="23"/>
  <c r="E17" i="23" s="1"/>
  <c r="BC16" i="23"/>
  <c r="BC17" i="23" s="1"/>
  <c r="AZ16" i="23"/>
  <c r="AZ17" i="23" s="1"/>
  <c r="AY16" i="23"/>
  <c r="AY17" i="23" s="1"/>
  <c r="AV16" i="23"/>
  <c r="AV17" i="23" s="1"/>
  <c r="AU16" i="23"/>
  <c r="AU17" i="23" s="1"/>
  <c r="AR16" i="23"/>
  <c r="AR17" i="23" s="1"/>
  <c r="AQ16" i="23"/>
  <c r="AQ17" i="23" s="1"/>
  <c r="AN16" i="23"/>
  <c r="AN17" i="23" s="1"/>
  <c r="AM16" i="23"/>
  <c r="AM17" i="23" s="1"/>
  <c r="AJ16" i="23"/>
  <c r="AJ17" i="23" s="1"/>
  <c r="AI16" i="23"/>
  <c r="AI17" i="23" s="1"/>
  <c r="AE16" i="23"/>
  <c r="AE17" i="23" s="1"/>
  <c r="AD16" i="23"/>
  <c r="AD17" i="23" s="1"/>
  <c r="AA16" i="23"/>
  <c r="AA17" i="23" s="1"/>
  <c r="Z16" i="23"/>
  <c r="Z17" i="23"/>
  <c r="W16" i="23"/>
  <c r="W17" i="23" s="1"/>
  <c r="V16" i="23"/>
  <c r="V17" i="23" s="1"/>
  <c r="S16" i="23"/>
  <c r="S17" i="23" s="1"/>
  <c r="R16" i="23"/>
  <c r="R17" i="23" s="1"/>
  <c r="O16" i="23"/>
  <c r="O17" i="23" s="1"/>
  <c r="N16" i="23"/>
  <c r="N17" i="23" s="1"/>
  <c r="K16" i="23"/>
  <c r="K17" i="23" s="1"/>
  <c r="J16" i="23"/>
  <c r="J17" i="23" s="1"/>
  <c r="G16" i="23"/>
  <c r="G17" i="23" s="1"/>
  <c r="F16" i="23"/>
  <c r="F17" i="23" s="1"/>
  <c r="C15" i="23"/>
  <c r="D15" i="23" s="1"/>
  <c r="C14" i="23"/>
  <c r="C13" i="23"/>
  <c r="D13" i="23" s="1"/>
  <c r="C12" i="23"/>
  <c r="C11" i="23"/>
  <c r="D11" i="23" s="1"/>
  <c r="C10" i="23"/>
  <c r="C9" i="23"/>
  <c r="D9" i="23" s="1"/>
  <c r="C8" i="23"/>
  <c r="C7" i="23"/>
  <c r="D7" i="23" s="1"/>
  <c r="C6" i="23"/>
  <c r="C5" i="23"/>
  <c r="D5" i="23" s="1"/>
  <c r="C4" i="23"/>
  <c r="C3" i="23"/>
  <c r="D3" i="23" s="1"/>
  <c r="BC31" i="22"/>
  <c r="BB31" i="22"/>
  <c r="BA31" i="22"/>
  <c r="AZ31" i="22"/>
  <c r="AY31" i="22"/>
  <c r="AX31" i="22"/>
  <c r="AW31" i="22"/>
  <c r="AV31" i="22"/>
  <c r="AU31" i="22"/>
  <c r="AT31" i="22"/>
  <c r="AS31" i="22"/>
  <c r="AR31" i="22"/>
  <c r="AQ31" i="22"/>
  <c r="AP31" i="22"/>
  <c r="AO31" i="22"/>
  <c r="AN31" i="22"/>
  <c r="AM31" i="22"/>
  <c r="AL31" i="22"/>
  <c r="AK31" i="22"/>
  <c r="AJ31" i="22"/>
  <c r="AI31" i="22"/>
  <c r="AH31" i="22"/>
  <c r="AG31" i="22"/>
  <c r="AF31" i="22"/>
  <c r="AE31" i="22"/>
  <c r="AD31" i="22"/>
  <c r="AC31" i="22"/>
  <c r="AB31" i="22"/>
  <c r="AA31" i="22"/>
  <c r="Z31" i="22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F31" i="22"/>
  <c r="E31" i="22"/>
  <c r="C30" i="22"/>
  <c r="C29" i="22"/>
  <c r="D1" i="22"/>
  <c r="D12" i="22" s="1"/>
  <c r="C28" i="22"/>
  <c r="C27" i="22"/>
  <c r="C26" i="22"/>
  <c r="C25" i="22"/>
  <c r="C24" i="22"/>
  <c r="C23" i="22"/>
  <c r="D23" i="22" s="1"/>
  <c r="C22" i="22"/>
  <c r="C21" i="22"/>
  <c r="C20" i="22"/>
  <c r="C19" i="22"/>
  <c r="C18" i="22"/>
  <c r="BB15" i="22"/>
  <c r="BB16" i="22" s="1"/>
  <c r="BA15" i="22"/>
  <c r="BA16" i="22" s="1"/>
  <c r="AX15" i="22"/>
  <c r="AX16" i="22" s="1"/>
  <c r="AW15" i="22"/>
  <c r="AW16" i="22" s="1"/>
  <c r="AT15" i="22"/>
  <c r="AT16" i="22" s="1"/>
  <c r="AS15" i="22"/>
  <c r="AS16" i="22" s="1"/>
  <c r="AP15" i="22"/>
  <c r="AP16" i="22" s="1"/>
  <c r="AO15" i="22"/>
  <c r="AO16" i="22" s="1"/>
  <c r="AL15" i="22"/>
  <c r="AL16" i="22" s="1"/>
  <c r="AK15" i="22"/>
  <c r="AK16" i="22" s="1"/>
  <c r="AH15" i="22"/>
  <c r="AH16" i="22" s="1"/>
  <c r="AG15" i="22"/>
  <c r="AG16" i="22" s="1"/>
  <c r="AC15" i="22"/>
  <c r="AC16" i="22" s="1"/>
  <c r="AB15" i="22"/>
  <c r="AB16" i="22" s="1"/>
  <c r="Y15" i="22"/>
  <c r="Y16" i="22" s="1"/>
  <c r="X15" i="22"/>
  <c r="X16" i="22" s="1"/>
  <c r="U15" i="22"/>
  <c r="U16" i="22" s="1"/>
  <c r="T15" i="22"/>
  <c r="T16" i="22" s="1"/>
  <c r="Q15" i="22"/>
  <c r="Q16" i="22" s="1"/>
  <c r="P15" i="22"/>
  <c r="P16" i="22" s="1"/>
  <c r="M15" i="22"/>
  <c r="M16" i="22" s="1"/>
  <c r="L15" i="22"/>
  <c r="L16" i="22" s="1"/>
  <c r="I15" i="22"/>
  <c r="I16" i="22" s="1"/>
  <c r="H15" i="22"/>
  <c r="H16" i="22" s="1"/>
  <c r="E15" i="22"/>
  <c r="E16" i="22" s="1"/>
  <c r="BC15" i="22"/>
  <c r="BC16" i="22" s="1"/>
  <c r="AZ15" i="22"/>
  <c r="AZ16" i="22" s="1"/>
  <c r="AY15" i="22"/>
  <c r="AY16" i="22" s="1"/>
  <c r="AV15" i="22"/>
  <c r="AV16" i="22" s="1"/>
  <c r="AU15" i="22"/>
  <c r="AU16" i="22" s="1"/>
  <c r="AR15" i="22"/>
  <c r="AR16" i="22" s="1"/>
  <c r="AQ15" i="22"/>
  <c r="AQ16" i="22" s="1"/>
  <c r="AN15" i="22"/>
  <c r="AN16" i="22" s="1"/>
  <c r="AM15" i="22"/>
  <c r="AM16" i="22" s="1"/>
  <c r="AJ15" i="22"/>
  <c r="AJ16" i="22" s="1"/>
  <c r="AI15" i="22"/>
  <c r="AI16" i="22" s="1"/>
  <c r="AE15" i="22"/>
  <c r="AE16" i="22" s="1"/>
  <c r="AD15" i="22"/>
  <c r="AD16" i="22" s="1"/>
  <c r="AA15" i="22"/>
  <c r="AA16" i="22" s="1"/>
  <c r="Z15" i="22"/>
  <c r="Z16" i="22" s="1"/>
  <c r="W15" i="22"/>
  <c r="W16" i="22" s="1"/>
  <c r="V15" i="22"/>
  <c r="V16" i="22" s="1"/>
  <c r="S15" i="22"/>
  <c r="S16" i="22" s="1"/>
  <c r="R15" i="22"/>
  <c r="R16" i="22" s="1"/>
  <c r="O15" i="22"/>
  <c r="O16" i="22" s="1"/>
  <c r="N15" i="22"/>
  <c r="N16" i="22" s="1"/>
  <c r="K15" i="22"/>
  <c r="K16" i="22" s="1"/>
  <c r="J15" i="22"/>
  <c r="J16" i="22" s="1"/>
  <c r="G15" i="22"/>
  <c r="G16" i="22" s="1"/>
  <c r="F15" i="22"/>
  <c r="F16" i="22" s="1"/>
  <c r="C14" i="22"/>
  <c r="C13" i="22"/>
  <c r="C12" i="22"/>
  <c r="C11" i="22"/>
  <c r="C10" i="22"/>
  <c r="C9" i="22"/>
  <c r="D9" i="22" s="1"/>
  <c r="C8" i="22"/>
  <c r="C7" i="22"/>
  <c r="C6" i="22"/>
  <c r="C5" i="22"/>
  <c r="D5" i="22" s="1"/>
  <c r="C4" i="22"/>
  <c r="C3" i="22"/>
  <c r="B24" i="21"/>
  <c r="B23" i="21"/>
  <c r="B22" i="21"/>
  <c r="B21" i="21"/>
  <c r="B20" i="21"/>
  <c r="B19" i="21"/>
  <c r="B18" i="21"/>
  <c r="AZ15" i="21"/>
  <c r="AZ16" i="21" s="1"/>
  <c r="AN15" i="21"/>
  <c r="AN16" i="21" s="1"/>
  <c r="AJ15" i="21"/>
  <c r="AJ16" i="21" s="1"/>
  <c r="W15" i="21"/>
  <c r="W16" i="21" s="1"/>
  <c r="S15" i="21"/>
  <c r="S16" i="21" s="1"/>
  <c r="F15" i="21"/>
  <c r="F16" i="21" s="1"/>
  <c r="BC15" i="21"/>
  <c r="BC16" i="21" s="1"/>
  <c r="BB15" i="21"/>
  <c r="BB16" i="21" s="1"/>
  <c r="BA15" i="21"/>
  <c r="BA16" i="21" s="1"/>
  <c r="AY15" i="21"/>
  <c r="AY16" i="21" s="1"/>
  <c r="AX15" i="21"/>
  <c r="AX16" i="21" s="1"/>
  <c r="AW15" i="21"/>
  <c r="AW16" i="21" s="1"/>
  <c r="AV15" i="21"/>
  <c r="AV16" i="21" s="1"/>
  <c r="AU15" i="21"/>
  <c r="AU16" i="21" s="1"/>
  <c r="AT15" i="21"/>
  <c r="AT16" i="21" s="1"/>
  <c r="AS15" i="21"/>
  <c r="AS16" i="21" s="1"/>
  <c r="AR15" i="21"/>
  <c r="AR16" i="21" s="1"/>
  <c r="AQ15" i="21"/>
  <c r="AQ16" i="21" s="1"/>
  <c r="AP15" i="21"/>
  <c r="AP16" i="21" s="1"/>
  <c r="AO15" i="21"/>
  <c r="AO16" i="21" s="1"/>
  <c r="AM15" i="21"/>
  <c r="AM16" i="21" s="1"/>
  <c r="AL15" i="21"/>
  <c r="AL16" i="21" s="1"/>
  <c r="AK15" i="21"/>
  <c r="AK16" i="21" s="1"/>
  <c r="AI15" i="21"/>
  <c r="AI16" i="21" s="1"/>
  <c r="AH15" i="21"/>
  <c r="AH16" i="21" s="1"/>
  <c r="AG15" i="21"/>
  <c r="AG16" i="21" s="1"/>
  <c r="AE15" i="21"/>
  <c r="AE16" i="21" s="1"/>
  <c r="AD15" i="21"/>
  <c r="AD16" i="21" s="1"/>
  <c r="AC15" i="21"/>
  <c r="AC16" i="21" s="1"/>
  <c r="AB15" i="21"/>
  <c r="AB16" i="21" s="1"/>
  <c r="AA15" i="21"/>
  <c r="AA16" i="21" s="1"/>
  <c r="Z15" i="21"/>
  <c r="Z16" i="21" s="1"/>
  <c r="Y15" i="21"/>
  <c r="Y16" i="21" s="1"/>
  <c r="X15" i="21"/>
  <c r="X16" i="21" s="1"/>
  <c r="V15" i="21"/>
  <c r="V16" i="21" s="1"/>
  <c r="U15" i="21"/>
  <c r="U16" i="21" s="1"/>
  <c r="T15" i="21"/>
  <c r="T16" i="21" s="1"/>
  <c r="R15" i="21"/>
  <c r="R16" i="21" s="1"/>
  <c r="Q15" i="21"/>
  <c r="Q16" i="21" s="1"/>
  <c r="P15" i="21"/>
  <c r="P16" i="21" s="1"/>
  <c r="O15" i="21"/>
  <c r="O16" i="21" s="1"/>
  <c r="N15" i="21"/>
  <c r="N16" i="21" s="1"/>
  <c r="M15" i="21"/>
  <c r="M16" i="21" s="1"/>
  <c r="L15" i="21"/>
  <c r="L16" i="21" s="1"/>
  <c r="K15" i="21"/>
  <c r="K16" i="21" s="1"/>
  <c r="J15" i="21"/>
  <c r="J16" i="21" s="1"/>
  <c r="I15" i="21"/>
  <c r="I16" i="21" s="1"/>
  <c r="H15" i="21"/>
  <c r="H16" i="21" s="1"/>
  <c r="E15" i="21"/>
  <c r="E16" i="21" s="1"/>
  <c r="D15" i="21"/>
  <c r="D16" i="21" s="1"/>
  <c r="B14" i="21"/>
  <c r="B13" i="21"/>
  <c r="C1" i="21"/>
  <c r="B12" i="21"/>
  <c r="B11" i="21"/>
  <c r="B10" i="21"/>
  <c r="B9" i="21"/>
  <c r="B8" i="21"/>
  <c r="B7" i="21"/>
  <c r="C7" i="21" s="1"/>
  <c r="B6" i="21"/>
  <c r="B5" i="21"/>
  <c r="B4" i="21"/>
  <c r="B3" i="21"/>
  <c r="D7" i="20"/>
  <c r="D6" i="20"/>
  <c r="D4" i="20"/>
  <c r="D3" i="20"/>
  <c r="D2" i="20"/>
  <c r="I69" i="18"/>
  <c r="I68" i="18"/>
  <c r="I67" i="18"/>
  <c r="I66" i="18"/>
  <c r="I65" i="18"/>
  <c r="I64" i="18"/>
  <c r="I63" i="18"/>
  <c r="I62" i="18"/>
  <c r="I61" i="18"/>
  <c r="I60" i="18"/>
  <c r="I59" i="18"/>
  <c r="I58" i="18"/>
  <c r="I57" i="18"/>
  <c r="I56" i="18"/>
  <c r="I55" i="18"/>
  <c r="I54" i="18"/>
  <c r="I53" i="18"/>
  <c r="I52" i="18"/>
  <c r="I51" i="18"/>
  <c r="I50" i="18"/>
  <c r="I49" i="18"/>
  <c r="I48" i="18"/>
  <c r="I47" i="18"/>
  <c r="I46" i="18"/>
  <c r="I45" i="18"/>
  <c r="I44" i="18"/>
  <c r="I43" i="18"/>
  <c r="I42" i="18"/>
  <c r="I41" i="18"/>
  <c r="I40" i="18"/>
  <c r="I39" i="18"/>
  <c r="I38" i="18"/>
  <c r="I37" i="18"/>
  <c r="L36" i="18"/>
  <c r="I36" i="18"/>
  <c r="L35" i="18"/>
  <c r="I35" i="18"/>
  <c r="L34" i="18"/>
  <c r="I34" i="18"/>
  <c r="L33" i="18"/>
  <c r="I33" i="18"/>
  <c r="L32" i="18"/>
  <c r="I32" i="18"/>
  <c r="L31" i="18"/>
  <c r="I31" i="18"/>
  <c r="L30" i="18"/>
  <c r="I30" i="18"/>
  <c r="L29" i="18"/>
  <c r="I29" i="18"/>
  <c r="L28" i="18"/>
  <c r="I28" i="18"/>
  <c r="L27" i="18"/>
  <c r="I27" i="18"/>
  <c r="L26" i="18"/>
  <c r="I26" i="18"/>
  <c r="L25" i="18"/>
  <c r="I25" i="18"/>
  <c r="L24" i="18"/>
  <c r="I24" i="18"/>
  <c r="L23" i="18"/>
  <c r="I23" i="18"/>
  <c r="L22" i="18"/>
  <c r="I22" i="18"/>
  <c r="L21" i="18"/>
  <c r="I21" i="18"/>
  <c r="L20" i="18"/>
  <c r="I20" i="18"/>
  <c r="L19" i="18"/>
  <c r="I19" i="18"/>
  <c r="L18" i="18"/>
  <c r="I18" i="18"/>
  <c r="C18" i="18"/>
  <c r="L17" i="18"/>
  <c r="I17" i="18"/>
  <c r="C17" i="18"/>
  <c r="L16" i="18"/>
  <c r="I16" i="18"/>
  <c r="C16" i="18"/>
  <c r="L15" i="18"/>
  <c r="I15" i="18"/>
  <c r="C15" i="18"/>
  <c r="L14" i="18"/>
  <c r="I14" i="18"/>
  <c r="C14" i="18"/>
  <c r="L13" i="18"/>
  <c r="I13" i="18"/>
  <c r="C13" i="18"/>
  <c r="L12" i="18"/>
  <c r="I12" i="18"/>
  <c r="C12" i="18"/>
  <c r="L11" i="18"/>
  <c r="I11" i="18"/>
  <c r="C11" i="18"/>
  <c r="L10" i="18"/>
  <c r="I10" i="18"/>
  <c r="F10" i="18"/>
  <c r="C10" i="18"/>
  <c r="L9" i="18"/>
  <c r="I9" i="18"/>
  <c r="F9" i="18"/>
  <c r="C9" i="18"/>
  <c r="L8" i="18"/>
  <c r="I8" i="18"/>
  <c r="F8" i="18"/>
  <c r="C8" i="18"/>
  <c r="L7" i="18"/>
  <c r="I7" i="18"/>
  <c r="F7" i="18"/>
  <c r="C7" i="18"/>
  <c r="L6" i="18"/>
  <c r="I6" i="18"/>
  <c r="F6" i="18"/>
  <c r="C6" i="18"/>
  <c r="L5" i="18"/>
  <c r="I5" i="18"/>
  <c r="F5" i="18"/>
  <c r="C5" i="18"/>
  <c r="L4" i="18"/>
  <c r="L2" i="18" s="1"/>
  <c r="I4" i="18"/>
  <c r="I2" i="18" s="1"/>
  <c r="F4" i="18"/>
  <c r="F2" i="18" s="1"/>
  <c r="C4" i="18"/>
  <c r="C2" i="18" s="1"/>
  <c r="V1148" i="15"/>
  <c r="W1148" i="15" s="1"/>
  <c r="U1148" i="15"/>
  <c r="K1148" i="15"/>
  <c r="J1148" i="15"/>
  <c r="V1147" i="15"/>
  <c r="U1147" i="15"/>
  <c r="J1147" i="15"/>
  <c r="V1146" i="15"/>
  <c r="U1146" i="15"/>
  <c r="J1146" i="15"/>
  <c r="V1145" i="15"/>
  <c r="U1145" i="15"/>
  <c r="J1145" i="15"/>
  <c r="V1144" i="15"/>
  <c r="U1144" i="15"/>
  <c r="J1144" i="15"/>
  <c r="V1143" i="15"/>
  <c r="U1143" i="15"/>
  <c r="J1143" i="15"/>
  <c r="V1142" i="15"/>
  <c r="U1142" i="15"/>
  <c r="J1142" i="15"/>
  <c r="V1141" i="15"/>
  <c r="U1141" i="15"/>
  <c r="J1141" i="15"/>
  <c r="V1140" i="15"/>
  <c r="W1140" i="15" s="1"/>
  <c r="U1140" i="15"/>
  <c r="K1140" i="15"/>
  <c r="J1140" i="15"/>
  <c r="V1139" i="15"/>
  <c r="W1139" i="15" s="1"/>
  <c r="U1139" i="15"/>
  <c r="K1139" i="15"/>
  <c r="J1139" i="15"/>
  <c r="V1138" i="15"/>
  <c r="W1138" i="15" s="1"/>
  <c r="U1138" i="15"/>
  <c r="K1138" i="15"/>
  <c r="J1138" i="15"/>
  <c r="V1137" i="15"/>
  <c r="W1137" i="15" s="1"/>
  <c r="U1137" i="15"/>
  <c r="K1137" i="15"/>
  <c r="J1137" i="15"/>
  <c r="V1136" i="15"/>
  <c r="W1136" i="15"/>
  <c r="U1136" i="15"/>
  <c r="J1136" i="15"/>
  <c r="V1135" i="15"/>
  <c r="W1135" i="15" s="1"/>
  <c r="U1135" i="15"/>
  <c r="K1135" i="15"/>
  <c r="J1135" i="15"/>
  <c r="V1134" i="15"/>
  <c r="W1134" i="15" s="1"/>
  <c r="U1134" i="15"/>
  <c r="K1134" i="15"/>
  <c r="J1134" i="15"/>
  <c r="J1133" i="15"/>
  <c r="V1132" i="15"/>
  <c r="W1132" i="15" s="1"/>
  <c r="U1132" i="15"/>
  <c r="K1132" i="15"/>
  <c r="J1132" i="15"/>
  <c r="V1131" i="15"/>
  <c r="W1131" i="15" s="1"/>
  <c r="U1131" i="15"/>
  <c r="K1131" i="15"/>
  <c r="J1131" i="15"/>
  <c r="V1130" i="15"/>
  <c r="W1130" i="15" s="1"/>
  <c r="U1130" i="15"/>
  <c r="K1130" i="15"/>
  <c r="J1130" i="15"/>
  <c r="V1129" i="15"/>
  <c r="W1129" i="15" s="1"/>
  <c r="J1129" i="15"/>
  <c r="V1128" i="15"/>
  <c r="W1128" i="15" s="1"/>
  <c r="J1128" i="15"/>
  <c r="V1127" i="15"/>
  <c r="W1127" i="15" s="1"/>
  <c r="U1127" i="15"/>
  <c r="K1127" i="15"/>
  <c r="J1127" i="15"/>
  <c r="V1126" i="15"/>
  <c r="W1126" i="15" s="1"/>
  <c r="U1126" i="15"/>
  <c r="K1126" i="15"/>
  <c r="J1126" i="15"/>
  <c r="V1125" i="15"/>
  <c r="W1125" i="15" s="1"/>
  <c r="U1125" i="15"/>
  <c r="K1125" i="15"/>
  <c r="J1125" i="15"/>
  <c r="V1124" i="15"/>
  <c r="W1124" i="15" s="1"/>
  <c r="U1124" i="15"/>
  <c r="K1124" i="15"/>
  <c r="J1124" i="15"/>
  <c r="V1123" i="15"/>
  <c r="W1123" i="15"/>
  <c r="U1123" i="15"/>
  <c r="K1123" i="15"/>
  <c r="J1123" i="15"/>
  <c r="V1122" i="15"/>
  <c r="W1122" i="15" s="1"/>
  <c r="U1122" i="15"/>
  <c r="K1122" i="15"/>
  <c r="J1122" i="15"/>
  <c r="J1121" i="15"/>
  <c r="J1120" i="15"/>
  <c r="J1119" i="15"/>
  <c r="J1118" i="15"/>
  <c r="J1117" i="15"/>
  <c r="V1116" i="15"/>
  <c r="W1116" i="15" s="1"/>
  <c r="U1116" i="15"/>
  <c r="K1116" i="15"/>
  <c r="J1116" i="15"/>
  <c r="V1115" i="15"/>
  <c r="W1115" i="15"/>
  <c r="U1115" i="15"/>
  <c r="K1115" i="15"/>
  <c r="J1115" i="15"/>
  <c r="V1114" i="15"/>
  <c r="W1114" i="15" s="1"/>
  <c r="U1114" i="15"/>
  <c r="K1114" i="15"/>
  <c r="J1114" i="15"/>
  <c r="V1113" i="15"/>
  <c r="W1113" i="15" s="1"/>
  <c r="U1113" i="15"/>
  <c r="K1113" i="15"/>
  <c r="J1113" i="15"/>
  <c r="J1112" i="15"/>
  <c r="V1111" i="15"/>
  <c r="W1111" i="15" s="1"/>
  <c r="U1111" i="15"/>
  <c r="K1111" i="15"/>
  <c r="J1111" i="15"/>
  <c r="V1110" i="15"/>
  <c r="W1110" i="15" s="1"/>
  <c r="U1110" i="15"/>
  <c r="K1110" i="15"/>
  <c r="J1110" i="15"/>
  <c r="J1109" i="15"/>
  <c r="J1108" i="15"/>
  <c r="V1107" i="15"/>
  <c r="W1107" i="15"/>
  <c r="U1107" i="15"/>
  <c r="K1107" i="15"/>
  <c r="J1107" i="15"/>
  <c r="V1106" i="15"/>
  <c r="W1106" i="15" s="1"/>
  <c r="U1106" i="15"/>
  <c r="K1106" i="15"/>
  <c r="J1106" i="15"/>
  <c r="V1105" i="15"/>
  <c r="W1105" i="15" s="1"/>
  <c r="U1105" i="15"/>
  <c r="J1105" i="15"/>
  <c r="V1104" i="15"/>
  <c r="W1104" i="15" s="1"/>
  <c r="U1104" i="15"/>
  <c r="K1104" i="15"/>
  <c r="J1104" i="15"/>
  <c r="V1103" i="15"/>
  <c r="W1103" i="15" s="1"/>
  <c r="U1103" i="15"/>
  <c r="J1103" i="15"/>
  <c r="V1102" i="15"/>
  <c r="W1102" i="15" s="1"/>
  <c r="U1102" i="15"/>
  <c r="J1102" i="15"/>
  <c r="V1101" i="15"/>
  <c r="W1101" i="15" s="1"/>
  <c r="U1101" i="15"/>
  <c r="J1101" i="15"/>
  <c r="V1100" i="15"/>
  <c r="W1100" i="15" s="1"/>
  <c r="U1100" i="15"/>
  <c r="J1100" i="15"/>
  <c r="V1099" i="15"/>
  <c r="W1099" i="15" s="1"/>
  <c r="U1099" i="15"/>
  <c r="K1099" i="15"/>
  <c r="J1099" i="15"/>
  <c r="V1098" i="15"/>
  <c r="W1098" i="15" s="1"/>
  <c r="U1098" i="15"/>
  <c r="K1098" i="15"/>
  <c r="J1098" i="15"/>
  <c r="V1097" i="15"/>
  <c r="W1097" i="15" s="1"/>
  <c r="U1097" i="15"/>
  <c r="K1097" i="15"/>
  <c r="J1097" i="15"/>
  <c r="V1096" i="15"/>
  <c r="W1096" i="15" s="1"/>
  <c r="U1096" i="15"/>
  <c r="K1096" i="15"/>
  <c r="J1096" i="15"/>
  <c r="V1095" i="15"/>
  <c r="W1095" i="15" s="1"/>
  <c r="U1095" i="15"/>
  <c r="K1095" i="15"/>
  <c r="J1095" i="15"/>
  <c r="V1094" i="15"/>
  <c r="W1094" i="15" s="1"/>
  <c r="U1094" i="15"/>
  <c r="K1094" i="15"/>
  <c r="J1094" i="15"/>
  <c r="V1093" i="15"/>
  <c r="W1093" i="15" s="1"/>
  <c r="U1093" i="15"/>
  <c r="K1093" i="15"/>
  <c r="J1093" i="15"/>
  <c r="V1092" i="15"/>
  <c r="W1092" i="15" s="1"/>
  <c r="U1092" i="15"/>
  <c r="K1092" i="15"/>
  <c r="J1092" i="15"/>
  <c r="V1091" i="15"/>
  <c r="W1091" i="15" s="1"/>
  <c r="U1091" i="15"/>
  <c r="K1091" i="15"/>
  <c r="J1091" i="15"/>
  <c r="V1090" i="15"/>
  <c r="W1090" i="15"/>
  <c r="U1090" i="15"/>
  <c r="K1090" i="15"/>
  <c r="J1090" i="15"/>
  <c r="V1089" i="15"/>
  <c r="W1089" i="15" s="1"/>
  <c r="J1089" i="15"/>
  <c r="V1088" i="15"/>
  <c r="W1088" i="15" s="1"/>
  <c r="U1088" i="15"/>
  <c r="K1088" i="15"/>
  <c r="J1088" i="15"/>
  <c r="V1087" i="15"/>
  <c r="W1087" i="15" s="1"/>
  <c r="U1087" i="15"/>
  <c r="K1087" i="15"/>
  <c r="J1087" i="15"/>
  <c r="V1086" i="15"/>
  <c r="W1086" i="15" s="1"/>
  <c r="U1086" i="15"/>
  <c r="K1086" i="15"/>
  <c r="J1086" i="15"/>
  <c r="V1085" i="15"/>
  <c r="W1085" i="15" s="1"/>
  <c r="U1085" i="15"/>
  <c r="K1085" i="15"/>
  <c r="J1085" i="15"/>
  <c r="V1084" i="15"/>
  <c r="W1084" i="15" s="1"/>
  <c r="U1084" i="15"/>
  <c r="K1084" i="15"/>
  <c r="J1084" i="15"/>
  <c r="V1083" i="15"/>
  <c r="W1083" i="15" s="1"/>
  <c r="U1083" i="15"/>
  <c r="K1083" i="15"/>
  <c r="J1083" i="15"/>
  <c r="V1082" i="15"/>
  <c r="W1082" i="15" s="1"/>
  <c r="U1082" i="15"/>
  <c r="J1082" i="15"/>
  <c r="V1081" i="15"/>
  <c r="W1081" i="15" s="1"/>
  <c r="U1081" i="15"/>
  <c r="J1081" i="15"/>
  <c r="V1080" i="15"/>
  <c r="W1080" i="15" s="1"/>
  <c r="U1080" i="15"/>
  <c r="J1080" i="15"/>
  <c r="V1079" i="15"/>
  <c r="W1079" i="15" s="1"/>
  <c r="U1079" i="15"/>
  <c r="J1079" i="15"/>
  <c r="J1078" i="15"/>
  <c r="B1076" i="15"/>
  <c r="V1075" i="15"/>
  <c r="W1075" i="15" s="1"/>
  <c r="J1075" i="15"/>
  <c r="V1071" i="15"/>
  <c r="W1071" i="15" s="1"/>
  <c r="U1071" i="15"/>
  <c r="J1071" i="15"/>
  <c r="V1070" i="15"/>
  <c r="W1070" i="15" s="1"/>
  <c r="U1070" i="15"/>
  <c r="J1070" i="15"/>
  <c r="V1069" i="15"/>
  <c r="W1069" i="15" s="1"/>
  <c r="U1069" i="15"/>
  <c r="V1067" i="15"/>
  <c r="W1067" i="15" s="1"/>
  <c r="U1067" i="15"/>
  <c r="J1067" i="15"/>
  <c r="V1066" i="15"/>
  <c r="W1066" i="15" s="1"/>
  <c r="U1066" i="15"/>
  <c r="J1066" i="15"/>
  <c r="V1065" i="15"/>
  <c r="W1065" i="15" s="1"/>
  <c r="U1065" i="15"/>
  <c r="J1065" i="15"/>
  <c r="V1064" i="15"/>
  <c r="W1064" i="15" s="1"/>
  <c r="U1064" i="15"/>
  <c r="J1064" i="15"/>
  <c r="V1063" i="15"/>
  <c r="W1063" i="15" s="1"/>
  <c r="U1063" i="15"/>
  <c r="J1063" i="15"/>
  <c r="V1062" i="15"/>
  <c r="W1062" i="15" s="1"/>
  <c r="U1062" i="15"/>
  <c r="J1062" i="15"/>
  <c r="V1061" i="15"/>
  <c r="W1061" i="15" s="1"/>
  <c r="U1061" i="15"/>
  <c r="J1061" i="15"/>
  <c r="J1060" i="15"/>
  <c r="J1059" i="15"/>
  <c r="J1058" i="15"/>
  <c r="V1057" i="15"/>
  <c r="W1057" i="15" s="1"/>
  <c r="U1057" i="15"/>
  <c r="K1057" i="15"/>
  <c r="J1057" i="15"/>
  <c r="V1056" i="15"/>
  <c r="W1056" i="15" s="1"/>
  <c r="U1056" i="15"/>
  <c r="K1056" i="15"/>
  <c r="J1056" i="15"/>
  <c r="V1055" i="15"/>
  <c r="W1055" i="15" s="1"/>
  <c r="U1055" i="15"/>
  <c r="K1055" i="15"/>
  <c r="J1055" i="15"/>
  <c r="V1054" i="15"/>
  <c r="W1054" i="15" s="1"/>
  <c r="U1054" i="15"/>
  <c r="K1054" i="15"/>
  <c r="J1054" i="15"/>
  <c r="V1053" i="15"/>
  <c r="W1053" i="15" s="1"/>
  <c r="U1053" i="15"/>
  <c r="K1053" i="15"/>
  <c r="J1053" i="15"/>
  <c r="V1052" i="15"/>
  <c r="W1052" i="15" s="1"/>
  <c r="U1052" i="15"/>
  <c r="K1052" i="15"/>
  <c r="J1052" i="15"/>
  <c r="V1051" i="15"/>
  <c r="W1051" i="15" s="1"/>
  <c r="U1051" i="15"/>
  <c r="K1051" i="15"/>
  <c r="J1051" i="15"/>
  <c r="V1050" i="15"/>
  <c r="W1050" i="15" s="1"/>
  <c r="U1050" i="15"/>
  <c r="K1050" i="15"/>
  <c r="J1050" i="15"/>
  <c r="V1049" i="15"/>
  <c r="W1049" i="15" s="1"/>
  <c r="U1049" i="15"/>
  <c r="J1049" i="15"/>
  <c r="V1048" i="15"/>
  <c r="W1048" i="15" s="1"/>
  <c r="U1048" i="15"/>
  <c r="J1048" i="15"/>
  <c r="J1047" i="15"/>
  <c r="J1046" i="15"/>
  <c r="J1045" i="15"/>
  <c r="H1045" i="15"/>
  <c r="J1044" i="15"/>
  <c r="J1043" i="15"/>
  <c r="J1042" i="15"/>
  <c r="V1041" i="15"/>
  <c r="W1041" i="15" s="1"/>
  <c r="U1041" i="15"/>
  <c r="K1041" i="15"/>
  <c r="J1041" i="15"/>
  <c r="V1040" i="15"/>
  <c r="W1040" i="15" s="1"/>
  <c r="U1040" i="15"/>
  <c r="K1040" i="15"/>
  <c r="J1040" i="15"/>
  <c r="V1039" i="15"/>
  <c r="W1039" i="15" s="1"/>
  <c r="U1039" i="15"/>
  <c r="K1039" i="15"/>
  <c r="J1039" i="15"/>
  <c r="V1038" i="15"/>
  <c r="W1038" i="15" s="1"/>
  <c r="U1038" i="15"/>
  <c r="K1038" i="15"/>
  <c r="J1038" i="15"/>
  <c r="V1037" i="15"/>
  <c r="W1037" i="15" s="1"/>
  <c r="U1037" i="15"/>
  <c r="J1037" i="15"/>
  <c r="J1036" i="15"/>
  <c r="B1036" i="15"/>
  <c r="J1035" i="15"/>
  <c r="J1033" i="15"/>
  <c r="V1032" i="15"/>
  <c r="W1032" i="15" s="1"/>
  <c r="T1032" i="15"/>
  <c r="U1032" i="15" s="1"/>
  <c r="K1032" i="15"/>
  <c r="J1032" i="15"/>
  <c r="J1031" i="15"/>
  <c r="V1030" i="15"/>
  <c r="W1030" i="15" s="1"/>
  <c r="U1030" i="15"/>
  <c r="K1030" i="15"/>
  <c r="J1030" i="15"/>
  <c r="V1029" i="15"/>
  <c r="W1029" i="15" s="1"/>
  <c r="U1029" i="15"/>
  <c r="K1029" i="15"/>
  <c r="J1029" i="15"/>
  <c r="V1028" i="15"/>
  <c r="W1028" i="15" s="1"/>
  <c r="U1028" i="15"/>
  <c r="K1028" i="15"/>
  <c r="J1028" i="15"/>
  <c r="V1027" i="15"/>
  <c r="W1027" i="15" s="1"/>
  <c r="U1027" i="15"/>
  <c r="K1027" i="15"/>
  <c r="J1027" i="15"/>
  <c r="J1026" i="15"/>
  <c r="B1026" i="15"/>
  <c r="J1025" i="15"/>
  <c r="B1025" i="15"/>
  <c r="V1024" i="15"/>
  <c r="W1024" i="15" s="1"/>
  <c r="U1024" i="15"/>
  <c r="K1024" i="15"/>
  <c r="J1024" i="15"/>
  <c r="V1023" i="15"/>
  <c r="W1023" i="15"/>
  <c r="U1023" i="15"/>
  <c r="K1023" i="15"/>
  <c r="J1023" i="15"/>
  <c r="V1021" i="15"/>
  <c r="W1021" i="15" s="1"/>
  <c r="U1021" i="15"/>
  <c r="K1021" i="15"/>
  <c r="J1021" i="15"/>
  <c r="V1020" i="15"/>
  <c r="W1020" i="15" s="1"/>
  <c r="U1020" i="15"/>
  <c r="K1020" i="15"/>
  <c r="J1020" i="15"/>
  <c r="V1019" i="15"/>
  <c r="W1019" i="15" s="1"/>
  <c r="U1019" i="15"/>
  <c r="K1019" i="15"/>
  <c r="J1019" i="15"/>
  <c r="V1018" i="15"/>
  <c r="W1018" i="15" s="1"/>
  <c r="U1018" i="15"/>
  <c r="K1018" i="15"/>
  <c r="J1018" i="15"/>
  <c r="V1017" i="15"/>
  <c r="W1017" i="15" s="1"/>
  <c r="U1017" i="15"/>
  <c r="K1017" i="15"/>
  <c r="J1017" i="15"/>
  <c r="V1016" i="15"/>
  <c r="W1016" i="15" s="1"/>
  <c r="U1016" i="15"/>
  <c r="K1016" i="15"/>
  <c r="J1016" i="15"/>
  <c r="V1015" i="15"/>
  <c r="W1015" i="15" s="1"/>
  <c r="U1015" i="15"/>
  <c r="K1015" i="15"/>
  <c r="J1015" i="15"/>
  <c r="V1014" i="15"/>
  <c r="W1014" i="15" s="1"/>
  <c r="U1014" i="15"/>
  <c r="K1014" i="15"/>
  <c r="J1014" i="15"/>
  <c r="J1013" i="15"/>
  <c r="B1013" i="15"/>
  <c r="J1012" i="15"/>
  <c r="J1011" i="15"/>
  <c r="J1010" i="15"/>
  <c r="J1009" i="15"/>
  <c r="J1008" i="15"/>
  <c r="J1007" i="15"/>
  <c r="J1005" i="15"/>
  <c r="V1002" i="15"/>
  <c r="W1002" i="15" s="1"/>
  <c r="U1002" i="15"/>
  <c r="K1002" i="15"/>
  <c r="J1002" i="15"/>
  <c r="V1001" i="15"/>
  <c r="W1001" i="15" s="1"/>
  <c r="U1001" i="15"/>
  <c r="K1001" i="15"/>
  <c r="J1001" i="15"/>
  <c r="V1000" i="15"/>
  <c r="W1000" i="15" s="1"/>
  <c r="U1000" i="15"/>
  <c r="K1000" i="15"/>
  <c r="J1000" i="15"/>
  <c r="V999" i="15"/>
  <c r="W999" i="15" s="1"/>
  <c r="U999" i="15"/>
  <c r="K999" i="15"/>
  <c r="J999" i="15"/>
  <c r="V998" i="15"/>
  <c r="W998" i="15"/>
  <c r="U998" i="15"/>
  <c r="J998" i="15"/>
  <c r="J997" i="15"/>
  <c r="B997" i="15"/>
  <c r="J996" i="15"/>
  <c r="B996" i="15"/>
  <c r="J995" i="15"/>
  <c r="B995" i="15"/>
  <c r="J994" i="15"/>
  <c r="B994" i="15"/>
  <c r="J993" i="15"/>
  <c r="B993" i="15"/>
  <c r="V989" i="15"/>
  <c r="W989" i="15" s="1"/>
  <c r="U989" i="15"/>
  <c r="S989" i="15"/>
  <c r="K989" i="15"/>
  <c r="J989" i="15"/>
  <c r="J988" i="15"/>
  <c r="J987" i="15"/>
  <c r="J986" i="15"/>
  <c r="V985" i="15"/>
  <c r="W985" i="15" s="1"/>
  <c r="U985" i="15"/>
  <c r="K985" i="15"/>
  <c r="J985" i="15"/>
  <c r="V984" i="15"/>
  <c r="W984" i="15" s="1"/>
  <c r="U984" i="15"/>
  <c r="K984" i="15"/>
  <c r="J984" i="15"/>
  <c r="V983" i="15"/>
  <c r="W983" i="15" s="1"/>
  <c r="U983" i="15"/>
  <c r="K983" i="15"/>
  <c r="J983" i="15"/>
  <c r="V982" i="15"/>
  <c r="W982" i="15" s="1"/>
  <c r="U982" i="15"/>
  <c r="K982" i="15"/>
  <c r="J982" i="15"/>
  <c r="V981" i="15"/>
  <c r="W981" i="15" s="1"/>
  <c r="U981" i="15"/>
  <c r="J981" i="15"/>
  <c r="J980" i="15"/>
  <c r="B980" i="15"/>
  <c r="J979" i="15"/>
  <c r="B979" i="15"/>
  <c r="J978" i="15"/>
  <c r="B978" i="15"/>
  <c r="J977" i="15"/>
  <c r="B977" i="15"/>
  <c r="J976" i="15"/>
  <c r="B976" i="15"/>
  <c r="J975" i="15"/>
  <c r="B975" i="15"/>
  <c r="J974" i="15"/>
  <c r="B974" i="15"/>
  <c r="J973" i="15"/>
  <c r="B973" i="15"/>
  <c r="J972" i="15"/>
  <c r="B972" i="15"/>
  <c r="J971" i="15"/>
  <c r="B971" i="15"/>
  <c r="J970" i="15"/>
  <c r="B970" i="15"/>
  <c r="J969" i="15"/>
  <c r="B969" i="15"/>
  <c r="J967" i="15"/>
  <c r="B952" i="15"/>
  <c r="B951" i="15"/>
  <c r="B950" i="15"/>
  <c r="B949" i="15"/>
  <c r="B948" i="15"/>
  <c r="B947" i="15"/>
  <c r="B946" i="15"/>
  <c r="B945" i="15"/>
  <c r="B944" i="15"/>
  <c r="B943" i="15"/>
  <c r="B942" i="15"/>
  <c r="B941" i="15"/>
  <c r="B940" i="15"/>
  <c r="B939" i="15"/>
  <c r="B938" i="15"/>
  <c r="B937" i="15"/>
  <c r="B936" i="15"/>
  <c r="B935" i="15"/>
  <c r="B934" i="15"/>
  <c r="B933" i="15"/>
  <c r="B932" i="15"/>
  <c r="B931" i="15"/>
  <c r="B930" i="15"/>
  <c r="B929" i="15"/>
  <c r="B928" i="15"/>
  <c r="B927" i="15"/>
  <c r="B926" i="15"/>
  <c r="B925" i="15"/>
  <c r="B924" i="15"/>
  <c r="B923" i="15"/>
  <c r="B922" i="15"/>
  <c r="B921" i="15"/>
  <c r="B920" i="15"/>
  <c r="B919" i="15"/>
  <c r="B918" i="15"/>
  <c r="B917" i="15"/>
  <c r="B916" i="15"/>
  <c r="B915" i="15"/>
  <c r="B914" i="15"/>
  <c r="B913" i="15"/>
  <c r="B912" i="15"/>
  <c r="B911" i="15"/>
  <c r="B910" i="15"/>
  <c r="B909" i="15"/>
  <c r="B908" i="15"/>
  <c r="B907" i="15"/>
  <c r="B906" i="15"/>
  <c r="B905" i="15"/>
  <c r="B904" i="15"/>
  <c r="B903" i="15"/>
  <c r="B902" i="15"/>
  <c r="J901" i="15"/>
  <c r="B901" i="15"/>
  <c r="B900" i="15"/>
  <c r="B897" i="15"/>
  <c r="B896" i="15"/>
  <c r="B895" i="15"/>
  <c r="B894" i="15"/>
  <c r="B893" i="15"/>
  <c r="B892" i="15"/>
  <c r="B891" i="15"/>
  <c r="B890" i="15"/>
  <c r="B889" i="15"/>
  <c r="B888" i="15"/>
  <c r="B887" i="15"/>
  <c r="B886" i="15"/>
  <c r="B885" i="15"/>
  <c r="B884" i="15"/>
  <c r="B883" i="15"/>
  <c r="B882" i="15"/>
  <c r="B881" i="15"/>
  <c r="B880" i="15"/>
  <c r="B879" i="15"/>
  <c r="B878" i="15"/>
  <c r="B877" i="15"/>
  <c r="B876" i="15"/>
  <c r="B875" i="15"/>
  <c r="B874" i="15"/>
  <c r="B873" i="15"/>
  <c r="B872" i="15"/>
  <c r="B871" i="15"/>
  <c r="B870" i="15"/>
  <c r="B869" i="15"/>
  <c r="B868" i="15"/>
  <c r="B867" i="15"/>
  <c r="B866" i="15"/>
  <c r="B865" i="15"/>
  <c r="B864" i="15"/>
  <c r="B863" i="15"/>
  <c r="B862" i="15"/>
  <c r="B861" i="15"/>
  <c r="B860" i="15"/>
  <c r="B859" i="15"/>
  <c r="B858" i="15"/>
  <c r="B857" i="15"/>
  <c r="B856" i="15"/>
  <c r="B855" i="15"/>
  <c r="B854" i="15"/>
  <c r="B853" i="15"/>
  <c r="B852" i="15"/>
  <c r="B851" i="15"/>
  <c r="B850" i="15"/>
  <c r="B849" i="15"/>
  <c r="B848" i="15"/>
  <c r="B847" i="15"/>
  <c r="B846" i="15"/>
  <c r="B845" i="15"/>
  <c r="B844" i="15"/>
  <c r="B843" i="15"/>
  <c r="B842" i="15"/>
  <c r="B841" i="15"/>
  <c r="B840" i="15"/>
  <c r="B839" i="15"/>
  <c r="B838" i="15"/>
  <c r="B837" i="15"/>
  <c r="B836" i="15"/>
  <c r="B835" i="15"/>
  <c r="B834" i="15"/>
  <c r="B833" i="15"/>
  <c r="B832" i="15"/>
  <c r="B831" i="15"/>
  <c r="B830" i="15"/>
  <c r="B829" i="15"/>
  <c r="B828" i="15"/>
  <c r="B827" i="15"/>
  <c r="B826" i="15"/>
  <c r="B825" i="15"/>
  <c r="B824" i="15"/>
  <c r="B823" i="15"/>
  <c r="B822" i="15"/>
  <c r="B821" i="15"/>
  <c r="B820" i="15"/>
  <c r="B819" i="15"/>
  <c r="B818" i="15"/>
  <c r="B817" i="15"/>
  <c r="B816" i="15"/>
  <c r="B815" i="15"/>
  <c r="B814" i="15"/>
  <c r="B813" i="15"/>
  <c r="B812" i="15"/>
  <c r="B811" i="15"/>
  <c r="B810" i="15"/>
  <c r="B809" i="15"/>
  <c r="B808" i="15"/>
  <c r="B807" i="15"/>
  <c r="B806" i="15"/>
  <c r="B805" i="15"/>
  <c r="B804" i="15"/>
  <c r="B803" i="15"/>
  <c r="B802" i="15"/>
  <c r="B801" i="15"/>
  <c r="B800" i="15"/>
  <c r="B799" i="15"/>
  <c r="B798" i="15"/>
  <c r="B797" i="15"/>
  <c r="B796" i="15"/>
  <c r="B795" i="15"/>
  <c r="B794" i="15"/>
  <c r="B793" i="15"/>
  <c r="B792" i="15"/>
  <c r="B791" i="15"/>
  <c r="B790" i="15"/>
  <c r="B789" i="15"/>
  <c r="B788" i="15"/>
  <c r="B787" i="15"/>
  <c r="B786" i="15"/>
  <c r="B785" i="15"/>
  <c r="B784" i="15"/>
  <c r="B783" i="15"/>
  <c r="B782" i="15"/>
  <c r="B781" i="15"/>
  <c r="B780" i="15"/>
  <c r="B779" i="15"/>
  <c r="B778" i="15"/>
  <c r="B777" i="15"/>
  <c r="B776" i="15"/>
  <c r="B775" i="15"/>
  <c r="B774" i="15"/>
  <c r="B773" i="15"/>
  <c r="B772" i="15"/>
  <c r="B771" i="15"/>
  <c r="B770" i="15"/>
  <c r="B769" i="15"/>
  <c r="B768" i="15"/>
  <c r="B767" i="15"/>
  <c r="B766" i="15"/>
  <c r="B765" i="15"/>
  <c r="B764" i="15"/>
  <c r="B763" i="15"/>
  <c r="B762" i="15"/>
  <c r="B761" i="15"/>
  <c r="B760" i="15"/>
  <c r="B759" i="15"/>
  <c r="B758" i="15"/>
  <c r="B757" i="15"/>
  <c r="B756" i="15"/>
  <c r="B755" i="15"/>
  <c r="B754" i="15"/>
  <c r="B753" i="15"/>
  <c r="B752" i="15"/>
  <c r="B751" i="15"/>
  <c r="B750" i="15"/>
  <c r="B749" i="15"/>
  <c r="B748" i="15"/>
  <c r="B747" i="15"/>
  <c r="B746" i="15"/>
  <c r="B745" i="15"/>
  <c r="B744" i="15"/>
  <c r="B743" i="15"/>
  <c r="B742" i="15"/>
  <c r="B741" i="15"/>
  <c r="B740" i="15"/>
  <c r="B739" i="15"/>
  <c r="B738" i="15"/>
  <c r="B737" i="15"/>
  <c r="B736" i="15"/>
  <c r="B735" i="15"/>
  <c r="B734" i="15"/>
  <c r="B733" i="15"/>
  <c r="B732" i="15"/>
  <c r="B731" i="15"/>
  <c r="B730" i="15"/>
  <c r="B729" i="15"/>
  <c r="B728" i="15"/>
  <c r="B727" i="15"/>
  <c r="B726" i="15"/>
  <c r="B725" i="15"/>
  <c r="B724" i="15"/>
  <c r="B723" i="15"/>
  <c r="B722" i="15"/>
  <c r="B721" i="15"/>
  <c r="B720" i="15"/>
  <c r="B719" i="15"/>
  <c r="B718" i="15"/>
  <c r="B717" i="15"/>
  <c r="B716" i="15"/>
  <c r="B715" i="15"/>
  <c r="B714" i="15"/>
  <c r="B713" i="15"/>
  <c r="B712" i="15"/>
  <c r="B711" i="15"/>
  <c r="B710" i="15"/>
  <c r="B709" i="15"/>
  <c r="B708" i="15"/>
  <c r="B707" i="15"/>
  <c r="B706" i="15"/>
  <c r="B705" i="15"/>
  <c r="B704" i="15"/>
  <c r="B703" i="15"/>
  <c r="B702" i="15"/>
  <c r="B701" i="15"/>
  <c r="B700" i="15"/>
  <c r="B699" i="15"/>
  <c r="B698" i="15"/>
  <c r="B697" i="15"/>
  <c r="B696" i="15"/>
  <c r="B695" i="15"/>
  <c r="B694" i="15"/>
  <c r="B693" i="15"/>
  <c r="B692" i="15"/>
  <c r="B691" i="15"/>
  <c r="B690" i="15"/>
  <c r="B689" i="15"/>
  <c r="B688" i="15"/>
  <c r="B687" i="15"/>
  <c r="B686" i="15"/>
  <c r="B685" i="15"/>
  <c r="B684" i="15"/>
  <c r="B683" i="15"/>
  <c r="B682" i="15"/>
  <c r="B681" i="15"/>
  <c r="B680" i="15"/>
  <c r="B679" i="15"/>
  <c r="B678" i="15"/>
  <c r="B677" i="15"/>
  <c r="B676" i="15"/>
  <c r="B675" i="15"/>
  <c r="B674" i="15"/>
  <c r="B673" i="15"/>
  <c r="B672" i="15"/>
  <c r="B671" i="15"/>
  <c r="B670" i="15"/>
  <c r="B669" i="15"/>
  <c r="B668" i="15"/>
  <c r="B667" i="15"/>
  <c r="B666" i="15"/>
  <c r="B665" i="15"/>
  <c r="B664" i="15"/>
  <c r="B663" i="15"/>
  <c r="B662" i="15"/>
  <c r="B661" i="15"/>
  <c r="B660" i="15"/>
  <c r="B659" i="15"/>
  <c r="B658" i="15"/>
  <c r="B657" i="15"/>
  <c r="B656" i="15"/>
  <c r="B655" i="15"/>
  <c r="B654" i="15"/>
  <c r="B653" i="15"/>
  <c r="B652" i="15"/>
  <c r="B651" i="15"/>
  <c r="B650" i="15"/>
  <c r="B649" i="15"/>
  <c r="B648" i="15"/>
  <c r="B647" i="15"/>
  <c r="B646" i="15"/>
  <c r="B645" i="15"/>
  <c r="B644" i="15"/>
  <c r="B643" i="15"/>
  <c r="B642" i="15"/>
  <c r="B641" i="15"/>
  <c r="B640" i="15"/>
  <c r="B639" i="15"/>
  <c r="B638" i="15"/>
  <c r="B637" i="15"/>
  <c r="B636" i="15"/>
  <c r="B635" i="15"/>
  <c r="B634" i="15"/>
  <c r="B633" i="15"/>
  <c r="B632" i="15"/>
  <c r="B631" i="15"/>
  <c r="B630" i="15"/>
  <c r="B629" i="15"/>
  <c r="B628" i="15"/>
  <c r="B627" i="15"/>
  <c r="B626" i="15"/>
  <c r="B625" i="15"/>
  <c r="B624" i="15"/>
  <c r="B623" i="15"/>
  <c r="B622" i="15"/>
  <c r="B621" i="15"/>
  <c r="B620" i="15"/>
  <c r="B619" i="15"/>
  <c r="B618" i="15"/>
  <c r="B617" i="15"/>
  <c r="B616" i="15"/>
  <c r="B615" i="15"/>
  <c r="B614" i="15"/>
  <c r="B613" i="15"/>
  <c r="B612" i="15"/>
  <c r="B611" i="15"/>
  <c r="B610" i="15"/>
  <c r="B609" i="15"/>
  <c r="B608" i="15"/>
  <c r="B607" i="15"/>
  <c r="B606" i="15"/>
  <c r="B605" i="15"/>
  <c r="B604" i="15"/>
  <c r="B603" i="15"/>
  <c r="B602" i="15"/>
  <c r="B601" i="15"/>
  <c r="B600" i="15"/>
  <c r="B599" i="15"/>
  <c r="B598" i="15"/>
  <c r="B597" i="15"/>
  <c r="B596" i="15"/>
  <c r="B595" i="15"/>
  <c r="B594" i="15"/>
  <c r="B593" i="15"/>
  <c r="B592" i="15"/>
  <c r="B591" i="15"/>
  <c r="B590" i="15"/>
  <c r="B589" i="15"/>
  <c r="B588" i="15"/>
  <c r="B587" i="15"/>
  <c r="B586" i="15"/>
  <c r="B585" i="15"/>
  <c r="B584" i="15"/>
  <c r="B583" i="15"/>
  <c r="B582" i="15"/>
  <c r="B581" i="15"/>
  <c r="B580" i="15"/>
  <c r="B579" i="15"/>
  <c r="B578" i="15"/>
  <c r="B577" i="15"/>
  <c r="B576" i="15"/>
  <c r="B575" i="15"/>
  <c r="B574" i="15"/>
  <c r="B573" i="15"/>
  <c r="B572" i="15"/>
  <c r="B571" i="15"/>
  <c r="B570" i="15"/>
  <c r="B569" i="15"/>
  <c r="B568" i="15"/>
  <c r="B567" i="15"/>
  <c r="B566" i="15"/>
  <c r="B565" i="15"/>
  <c r="B564" i="15"/>
  <c r="B563" i="15"/>
  <c r="B562" i="15"/>
  <c r="B561" i="15"/>
  <c r="B560" i="15"/>
  <c r="B559" i="15"/>
  <c r="B558" i="15"/>
  <c r="B557" i="15"/>
  <c r="B556" i="15"/>
  <c r="B555" i="15"/>
  <c r="B554" i="15"/>
  <c r="B553" i="15"/>
  <c r="B552" i="15"/>
  <c r="B551" i="15"/>
  <c r="B550" i="15"/>
  <c r="B549" i="15"/>
  <c r="B548" i="15"/>
  <c r="B547" i="15"/>
  <c r="B546" i="15"/>
  <c r="B545" i="15"/>
  <c r="B544" i="15"/>
  <c r="B543" i="15"/>
  <c r="B542" i="15"/>
  <c r="B541" i="15"/>
  <c r="B540" i="15"/>
  <c r="B539" i="15"/>
  <c r="B538" i="15"/>
  <c r="B537" i="15"/>
  <c r="B536" i="15"/>
  <c r="B535" i="15"/>
  <c r="B534" i="15"/>
  <c r="B533" i="15"/>
  <c r="B532" i="15"/>
  <c r="B531" i="15"/>
  <c r="B530" i="15"/>
  <c r="B529" i="15"/>
  <c r="B528" i="15"/>
  <c r="B527" i="15"/>
  <c r="B526" i="15"/>
  <c r="B525" i="15"/>
  <c r="B524" i="15"/>
  <c r="B523" i="15"/>
  <c r="B522" i="15"/>
  <c r="B521" i="15"/>
  <c r="B520" i="15"/>
  <c r="B519" i="15"/>
  <c r="B518" i="15"/>
  <c r="B517" i="15"/>
  <c r="B516" i="15"/>
  <c r="B515" i="15"/>
  <c r="B514" i="15"/>
  <c r="B513" i="15"/>
  <c r="B512" i="15"/>
  <c r="B511" i="15"/>
  <c r="B510" i="15"/>
  <c r="B509" i="15"/>
  <c r="B508" i="15"/>
  <c r="B507" i="15"/>
  <c r="B506" i="15"/>
  <c r="B505" i="15"/>
  <c r="B504" i="15"/>
  <c r="B503" i="15"/>
  <c r="B502" i="15"/>
  <c r="B501" i="15"/>
  <c r="B500" i="15"/>
  <c r="B499" i="15"/>
  <c r="B498" i="15"/>
  <c r="B497" i="15"/>
  <c r="B496" i="15"/>
  <c r="B495" i="15"/>
  <c r="B494" i="15"/>
  <c r="B493" i="15"/>
  <c r="B492" i="15"/>
  <c r="B491" i="15"/>
  <c r="B490" i="15"/>
  <c r="B489" i="15"/>
  <c r="B488" i="15"/>
  <c r="B487" i="15"/>
  <c r="B486" i="15"/>
  <c r="B485" i="15"/>
  <c r="B484" i="15"/>
  <c r="B483" i="15"/>
  <c r="B482" i="15"/>
  <c r="B481" i="15"/>
  <c r="B480" i="15"/>
  <c r="B479" i="15"/>
  <c r="B478" i="15"/>
  <c r="B477" i="15"/>
  <c r="B476" i="15"/>
  <c r="B475" i="15"/>
  <c r="B474" i="15"/>
  <c r="B473" i="15"/>
  <c r="B472" i="15"/>
  <c r="B471" i="15"/>
  <c r="B470" i="15"/>
  <c r="B469" i="15"/>
  <c r="B468" i="15"/>
  <c r="B467" i="15"/>
  <c r="B466" i="15"/>
  <c r="B465" i="15"/>
  <c r="B464" i="15"/>
  <c r="B463" i="15"/>
  <c r="B462" i="15"/>
  <c r="B461" i="15"/>
  <c r="B460" i="15"/>
  <c r="B459" i="15"/>
  <c r="B458" i="15"/>
  <c r="B457" i="15"/>
  <c r="B456" i="15"/>
  <c r="B455" i="15"/>
  <c r="B454" i="15"/>
  <c r="B453" i="15"/>
  <c r="B452" i="15"/>
  <c r="B451" i="15"/>
  <c r="B450" i="15"/>
  <c r="B449" i="15"/>
  <c r="B448" i="15"/>
  <c r="B447" i="15"/>
  <c r="B446" i="15"/>
  <c r="B445" i="15"/>
  <c r="B444" i="15"/>
  <c r="B443" i="15"/>
  <c r="B442" i="15"/>
  <c r="B441" i="15"/>
  <c r="B440" i="15"/>
  <c r="B439" i="15"/>
  <c r="B438" i="15"/>
  <c r="B437" i="15"/>
  <c r="B436" i="15"/>
  <c r="B435" i="15"/>
  <c r="B434" i="15"/>
  <c r="B433" i="15"/>
  <c r="B432" i="15"/>
  <c r="B431" i="15"/>
  <c r="B430" i="15"/>
  <c r="B429" i="15"/>
  <c r="B428" i="15"/>
  <c r="B427" i="15"/>
  <c r="B426" i="15"/>
  <c r="B425" i="15"/>
  <c r="B424" i="15"/>
  <c r="B423" i="15"/>
  <c r="B422" i="15"/>
  <c r="B421" i="15"/>
  <c r="B420" i="15"/>
  <c r="B419" i="15"/>
  <c r="B418" i="15"/>
  <c r="B417" i="15"/>
  <c r="B416" i="15"/>
  <c r="B415" i="15"/>
  <c r="B414" i="15"/>
  <c r="B413" i="15"/>
  <c r="B412" i="15"/>
  <c r="B411" i="15"/>
  <c r="B410" i="15"/>
  <c r="B409" i="15"/>
  <c r="B408" i="15"/>
  <c r="B407" i="15"/>
  <c r="B406" i="15"/>
  <c r="B405" i="15"/>
  <c r="B404" i="15"/>
  <c r="B403" i="15"/>
  <c r="B402" i="15"/>
  <c r="B401" i="15"/>
  <c r="B400" i="15"/>
  <c r="B399" i="15"/>
  <c r="B398" i="15"/>
  <c r="B397" i="15"/>
  <c r="B396" i="15"/>
  <c r="B395" i="15"/>
  <c r="B394" i="15"/>
  <c r="B393" i="15"/>
  <c r="B392" i="15"/>
  <c r="B391" i="15"/>
  <c r="B390" i="15"/>
  <c r="B389" i="15"/>
  <c r="B388" i="15"/>
  <c r="B387" i="15"/>
  <c r="B386" i="15"/>
  <c r="B385" i="15"/>
  <c r="B384" i="15"/>
  <c r="B383" i="15"/>
  <c r="B382" i="15"/>
  <c r="B381" i="15"/>
  <c r="B380" i="15"/>
  <c r="B379" i="15"/>
  <c r="B378" i="15"/>
  <c r="B377" i="15"/>
  <c r="B376" i="15"/>
  <c r="B375" i="15"/>
  <c r="B374" i="15"/>
  <c r="B373" i="15"/>
  <c r="B372" i="15"/>
  <c r="B371" i="15"/>
  <c r="B370" i="15"/>
  <c r="B369" i="15"/>
  <c r="B368" i="15"/>
  <c r="B367" i="15"/>
  <c r="B366" i="15"/>
  <c r="B365" i="15"/>
  <c r="B364" i="15"/>
  <c r="B363" i="15"/>
  <c r="B362" i="15"/>
  <c r="B361" i="15"/>
  <c r="B360" i="15"/>
  <c r="B359" i="15"/>
  <c r="B358" i="15"/>
  <c r="B357" i="15"/>
  <c r="B356" i="15"/>
  <c r="B355" i="15"/>
  <c r="B354" i="15"/>
  <c r="B353" i="15"/>
  <c r="B352" i="15"/>
  <c r="B351" i="15"/>
  <c r="B350" i="15"/>
  <c r="B349" i="15"/>
  <c r="B348" i="15"/>
  <c r="B347" i="15"/>
  <c r="B346" i="15"/>
  <c r="B345" i="15"/>
  <c r="B344" i="15"/>
  <c r="B343" i="15"/>
  <c r="B342" i="15"/>
  <c r="B341" i="15"/>
  <c r="B340" i="15"/>
  <c r="B339" i="15"/>
  <c r="B338" i="15"/>
  <c r="B337" i="15"/>
  <c r="B336" i="15"/>
  <c r="B335" i="15"/>
  <c r="B334" i="15"/>
  <c r="B333" i="15"/>
  <c r="B332" i="15"/>
  <c r="B331" i="15"/>
  <c r="B330" i="15"/>
  <c r="B329" i="15"/>
  <c r="B328" i="15"/>
  <c r="B327" i="15"/>
  <c r="B326" i="15"/>
  <c r="B325" i="15"/>
  <c r="B324" i="15"/>
  <c r="B323" i="15"/>
  <c r="B322" i="15"/>
  <c r="B321" i="15"/>
  <c r="B320" i="15"/>
  <c r="B319" i="15"/>
  <c r="B318" i="15"/>
  <c r="B317" i="15"/>
  <c r="B316" i="15"/>
  <c r="B315" i="15"/>
  <c r="B314" i="15"/>
  <c r="B313" i="15"/>
  <c r="B312" i="15"/>
  <c r="B311" i="15"/>
  <c r="B310" i="15"/>
  <c r="B309" i="15"/>
  <c r="B308" i="15"/>
  <c r="B307" i="15"/>
  <c r="B306" i="15"/>
  <c r="B305" i="15"/>
  <c r="B304" i="15"/>
  <c r="B303" i="15"/>
  <c r="B302" i="15"/>
  <c r="B301" i="15"/>
  <c r="B300" i="15"/>
  <c r="B299" i="15"/>
  <c r="B298" i="15"/>
  <c r="B297" i="15"/>
  <c r="B296" i="15"/>
  <c r="B295" i="15"/>
  <c r="B294" i="15"/>
  <c r="B293" i="15"/>
  <c r="B292" i="15"/>
  <c r="B291" i="15"/>
  <c r="B290" i="15"/>
  <c r="B289" i="15"/>
  <c r="B288" i="15"/>
  <c r="B287" i="15"/>
  <c r="B286" i="15"/>
  <c r="B285" i="15"/>
  <c r="B284" i="15"/>
  <c r="B283" i="15"/>
  <c r="B282" i="15"/>
  <c r="B281" i="15"/>
  <c r="B280" i="15"/>
  <c r="B279" i="15"/>
  <c r="B278" i="15"/>
  <c r="B277" i="15"/>
  <c r="B276" i="15"/>
  <c r="B275" i="15"/>
  <c r="B274" i="15"/>
  <c r="B273" i="15"/>
  <c r="B272" i="15"/>
  <c r="B271" i="15"/>
  <c r="B270" i="15"/>
  <c r="B269" i="15"/>
  <c r="B268" i="15"/>
  <c r="B267" i="15"/>
  <c r="B266" i="15"/>
  <c r="B265" i="15"/>
  <c r="B264" i="15"/>
  <c r="B263" i="15"/>
  <c r="B262" i="15"/>
  <c r="B261" i="15"/>
  <c r="B260" i="15"/>
  <c r="B259" i="15"/>
  <c r="B258" i="15"/>
  <c r="B257" i="15"/>
  <c r="B256" i="15"/>
  <c r="B255" i="15"/>
  <c r="B254" i="15"/>
  <c r="B253" i="15"/>
  <c r="B252" i="15"/>
  <c r="B251" i="15"/>
  <c r="B250" i="15"/>
  <c r="B249" i="15"/>
  <c r="B248" i="15"/>
  <c r="B247" i="15"/>
  <c r="B246" i="15"/>
  <c r="B245" i="15"/>
  <c r="B244" i="15"/>
  <c r="B243" i="15"/>
  <c r="B242" i="15"/>
  <c r="B241" i="15"/>
  <c r="B240" i="15"/>
  <c r="B239" i="15"/>
  <c r="B238" i="15"/>
  <c r="B237" i="15"/>
  <c r="B236" i="15"/>
  <c r="B235" i="15"/>
  <c r="B234" i="15"/>
  <c r="B233" i="15"/>
  <c r="B232" i="15"/>
  <c r="B231" i="15"/>
  <c r="B230" i="15"/>
  <c r="B229" i="15"/>
  <c r="B228" i="15"/>
  <c r="B227" i="15"/>
  <c r="B226" i="15"/>
  <c r="B225" i="15"/>
  <c r="B224" i="15"/>
  <c r="B223" i="15"/>
  <c r="B222" i="15"/>
  <c r="B221" i="15"/>
  <c r="B220" i="15"/>
  <c r="B219" i="15"/>
  <c r="B218" i="15"/>
  <c r="B217" i="15"/>
  <c r="B216" i="15"/>
  <c r="B215" i="15"/>
  <c r="B214" i="15"/>
  <c r="B213" i="15"/>
  <c r="B212" i="15"/>
  <c r="B211" i="15"/>
  <c r="B210" i="15"/>
  <c r="B209" i="15"/>
  <c r="B208" i="15"/>
  <c r="B207" i="15"/>
  <c r="B206" i="15"/>
  <c r="B205" i="15"/>
  <c r="B204" i="15"/>
  <c r="B203" i="15"/>
  <c r="B202" i="15"/>
  <c r="B201" i="15"/>
  <c r="B200" i="15"/>
  <c r="B199" i="15"/>
  <c r="B198" i="15"/>
  <c r="B197" i="15"/>
  <c r="B196" i="15"/>
  <c r="B195" i="15"/>
  <c r="B194" i="15"/>
  <c r="B193" i="15"/>
  <c r="B192" i="15"/>
  <c r="B191" i="15"/>
  <c r="B190" i="15"/>
  <c r="B189" i="15"/>
  <c r="B188" i="15"/>
  <c r="B187" i="15"/>
  <c r="B186" i="15"/>
  <c r="B185" i="15"/>
  <c r="B184" i="15"/>
  <c r="B183" i="15"/>
  <c r="B182" i="15"/>
  <c r="B181" i="15"/>
  <c r="B180" i="15"/>
  <c r="B179" i="15"/>
  <c r="B178" i="15"/>
  <c r="B177" i="15"/>
  <c r="B176" i="15"/>
  <c r="B175" i="15"/>
  <c r="B174" i="15"/>
  <c r="B173" i="15"/>
  <c r="B172" i="15"/>
  <c r="B171" i="15"/>
  <c r="B170" i="15"/>
  <c r="B169" i="15"/>
  <c r="B168" i="15"/>
  <c r="B167" i="15"/>
  <c r="B166" i="15"/>
  <c r="B165" i="15"/>
  <c r="B164" i="15"/>
  <c r="B163" i="15"/>
  <c r="B162" i="15"/>
  <c r="B161" i="15"/>
  <c r="B160" i="15"/>
  <c r="B159" i="15"/>
  <c r="B158" i="15"/>
  <c r="B157" i="15"/>
  <c r="B156" i="15"/>
  <c r="B155" i="15"/>
  <c r="B154" i="15"/>
  <c r="B153" i="15"/>
  <c r="B152" i="15"/>
  <c r="B151" i="15"/>
  <c r="B150" i="15"/>
  <c r="B149" i="15"/>
  <c r="B148" i="15"/>
  <c r="B147" i="15"/>
  <c r="B146" i="15"/>
  <c r="B145" i="15"/>
  <c r="B144" i="15"/>
  <c r="B143" i="15"/>
  <c r="B142" i="15"/>
  <c r="B141" i="15"/>
  <c r="B140" i="15"/>
  <c r="B139" i="15"/>
  <c r="B138" i="15"/>
  <c r="B137" i="15"/>
  <c r="B136" i="15"/>
  <c r="B135" i="15"/>
  <c r="B134" i="15"/>
  <c r="B133" i="15"/>
  <c r="B132" i="15"/>
  <c r="B131" i="15"/>
  <c r="B130" i="15"/>
  <c r="B129" i="15"/>
  <c r="B128" i="15"/>
  <c r="B127" i="15"/>
  <c r="B126" i="15"/>
  <c r="B125" i="15"/>
  <c r="B124" i="15"/>
  <c r="B123" i="15"/>
  <c r="B122" i="15"/>
  <c r="B121" i="15"/>
  <c r="B120" i="15"/>
  <c r="B119" i="15"/>
  <c r="B118" i="15"/>
  <c r="B117" i="15"/>
  <c r="B116" i="15"/>
  <c r="B115" i="15"/>
  <c r="B114" i="15"/>
  <c r="B113" i="15"/>
  <c r="B112" i="15"/>
  <c r="B111" i="15"/>
  <c r="B110" i="15"/>
  <c r="B109" i="15"/>
  <c r="B108" i="15"/>
  <c r="B107" i="15"/>
  <c r="B106" i="15"/>
  <c r="B105" i="15"/>
  <c r="B104" i="15"/>
  <c r="B103" i="15"/>
  <c r="B102" i="15"/>
  <c r="B101" i="15"/>
  <c r="B100" i="15"/>
  <c r="B99" i="15"/>
  <c r="B98" i="15"/>
  <c r="B97" i="15"/>
  <c r="B96" i="15"/>
  <c r="B95" i="15"/>
  <c r="B94" i="15"/>
  <c r="B93" i="15"/>
  <c r="B92" i="15"/>
  <c r="B91" i="15"/>
  <c r="B90" i="15"/>
  <c r="B89" i="15"/>
  <c r="B88" i="15"/>
  <c r="B87" i="15"/>
  <c r="B86" i="15"/>
  <c r="B85" i="15"/>
  <c r="B84" i="15"/>
  <c r="B83" i="15"/>
  <c r="B82" i="15"/>
  <c r="B81" i="15"/>
  <c r="B80" i="15"/>
  <c r="B79" i="15"/>
  <c r="B78" i="15"/>
  <c r="B77" i="15"/>
  <c r="B76" i="15"/>
  <c r="B75" i="15"/>
  <c r="B74" i="15"/>
  <c r="B73" i="15"/>
  <c r="B72" i="15"/>
  <c r="B71" i="15"/>
  <c r="B70" i="15"/>
  <c r="B69" i="15"/>
  <c r="B68" i="15"/>
  <c r="B67" i="15"/>
  <c r="B66" i="15"/>
  <c r="B65" i="15"/>
  <c r="B64" i="15"/>
  <c r="B63" i="15"/>
  <c r="B62" i="15"/>
  <c r="B61" i="15"/>
  <c r="B60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3" i="15"/>
  <c r="B2" i="15"/>
  <c r="A1" i="14"/>
  <c r="E1" i="14" s="1"/>
  <c r="A9" i="8"/>
  <c r="B2" i="8"/>
  <c r="A3" i="8" s="1"/>
  <c r="J408" i="6"/>
  <c r="J407" i="6"/>
  <c r="V406" i="6"/>
  <c r="J406" i="6"/>
  <c r="V405" i="6"/>
  <c r="J405" i="6"/>
  <c r="V404" i="6"/>
  <c r="J404" i="6"/>
  <c r="V403" i="6"/>
  <c r="J403" i="6"/>
  <c r="V402" i="6"/>
  <c r="J402" i="6"/>
  <c r="V401" i="6"/>
  <c r="J401" i="6"/>
  <c r="V400" i="6"/>
  <c r="J400" i="6"/>
  <c r="V399" i="6"/>
  <c r="J399" i="6"/>
  <c r="V398" i="6"/>
  <c r="J398" i="6"/>
  <c r="V397" i="6"/>
  <c r="J397" i="6"/>
  <c r="V396" i="6"/>
  <c r="J396" i="6"/>
  <c r="V395" i="6"/>
  <c r="J395" i="6"/>
  <c r="V394" i="6"/>
  <c r="J394" i="6"/>
  <c r="V393" i="6"/>
  <c r="J393" i="6"/>
  <c r="V392" i="6"/>
  <c r="J392" i="6"/>
  <c r="V391" i="6"/>
  <c r="J391" i="6"/>
  <c r="V390" i="6"/>
  <c r="J390" i="6"/>
  <c r="V389" i="6"/>
  <c r="J389" i="6"/>
  <c r="V388" i="6"/>
  <c r="J388" i="6"/>
  <c r="V387" i="6"/>
  <c r="J387" i="6"/>
  <c r="V386" i="6"/>
  <c r="J386" i="6"/>
  <c r="V385" i="6"/>
  <c r="J385" i="6"/>
  <c r="V384" i="6"/>
  <c r="J384" i="6"/>
  <c r="V383" i="6"/>
  <c r="J383" i="6"/>
  <c r="V382" i="6"/>
  <c r="J382" i="6"/>
  <c r="V381" i="6"/>
  <c r="J381" i="6"/>
  <c r="V380" i="6"/>
  <c r="J380" i="6"/>
  <c r="V379" i="6"/>
  <c r="J379" i="6"/>
  <c r="V378" i="6"/>
  <c r="J378" i="6"/>
  <c r="V377" i="6"/>
  <c r="J377" i="6"/>
  <c r="V376" i="6"/>
  <c r="J376" i="6"/>
  <c r="V375" i="6"/>
  <c r="J375" i="6"/>
  <c r="V374" i="6"/>
  <c r="J374" i="6"/>
  <c r="V373" i="6"/>
  <c r="J373" i="6"/>
  <c r="V372" i="6"/>
  <c r="J372" i="6"/>
  <c r="V371" i="6"/>
  <c r="J371" i="6"/>
  <c r="V370" i="6"/>
  <c r="J370" i="6"/>
  <c r="V369" i="6"/>
  <c r="J369" i="6"/>
  <c r="V368" i="6"/>
  <c r="J368" i="6"/>
  <c r="V367" i="6"/>
  <c r="J367" i="6"/>
  <c r="V366" i="6"/>
  <c r="J366" i="6"/>
  <c r="V365" i="6"/>
  <c r="J365" i="6"/>
  <c r="V364" i="6"/>
  <c r="J364" i="6"/>
  <c r="V363" i="6"/>
  <c r="J363" i="6"/>
  <c r="V362" i="6"/>
  <c r="J362" i="6"/>
  <c r="V361" i="6"/>
  <c r="J361" i="6"/>
  <c r="V360" i="6"/>
  <c r="J360" i="6"/>
  <c r="V359" i="6"/>
  <c r="J359" i="6"/>
  <c r="V358" i="6"/>
  <c r="J358" i="6"/>
  <c r="V357" i="6"/>
  <c r="J357" i="6"/>
  <c r="V356" i="6"/>
  <c r="J356" i="6"/>
  <c r="V355" i="6"/>
  <c r="J355" i="6"/>
  <c r="V354" i="6"/>
  <c r="J354" i="6"/>
  <c r="V353" i="6"/>
  <c r="J353" i="6"/>
  <c r="V352" i="6"/>
  <c r="J352" i="6"/>
  <c r="V351" i="6"/>
  <c r="J351" i="6"/>
  <c r="V350" i="6"/>
  <c r="J350" i="6"/>
  <c r="V349" i="6"/>
  <c r="J349" i="6"/>
  <c r="V348" i="6"/>
  <c r="J348" i="6"/>
  <c r="V347" i="6"/>
  <c r="J347" i="6"/>
  <c r="V346" i="6"/>
  <c r="J346" i="6"/>
  <c r="V345" i="6"/>
  <c r="J345" i="6"/>
  <c r="V344" i="6"/>
  <c r="J344" i="6"/>
  <c r="V343" i="6"/>
  <c r="J343" i="6"/>
  <c r="V342" i="6"/>
  <c r="J342" i="6"/>
  <c r="V341" i="6"/>
  <c r="J341" i="6"/>
  <c r="V340" i="6"/>
  <c r="J340" i="6"/>
  <c r="V339" i="6"/>
  <c r="J339" i="6"/>
  <c r="V338" i="6"/>
  <c r="J338" i="6"/>
  <c r="V337" i="6"/>
  <c r="J337" i="6"/>
  <c r="V336" i="6"/>
  <c r="J336" i="6"/>
  <c r="V335" i="6"/>
  <c r="J335" i="6"/>
  <c r="V334" i="6"/>
  <c r="J334" i="6"/>
  <c r="V333" i="6"/>
  <c r="J333" i="6"/>
  <c r="V332" i="6"/>
  <c r="J332" i="6"/>
  <c r="V331" i="6"/>
  <c r="J331" i="6"/>
  <c r="V330" i="6"/>
  <c r="J330" i="6"/>
  <c r="V329" i="6"/>
  <c r="J329" i="6"/>
  <c r="V328" i="6"/>
  <c r="J328" i="6"/>
  <c r="V327" i="6"/>
  <c r="J327" i="6"/>
  <c r="V326" i="6"/>
  <c r="J326" i="6"/>
  <c r="V325" i="6"/>
  <c r="V324" i="6"/>
  <c r="U324" i="6"/>
  <c r="J324" i="6"/>
  <c r="V323" i="6"/>
  <c r="U323" i="6"/>
  <c r="K323" i="6"/>
  <c r="J323" i="6"/>
  <c r="V322" i="6"/>
  <c r="V321" i="6"/>
  <c r="U321" i="6"/>
  <c r="K321" i="6"/>
  <c r="J321" i="6"/>
  <c r="V320" i="6"/>
  <c r="J320" i="6"/>
  <c r="V319" i="6"/>
  <c r="J319" i="6"/>
  <c r="V318" i="6"/>
  <c r="V317" i="6"/>
  <c r="V316" i="6"/>
  <c r="T315" i="6"/>
  <c r="K316" i="6"/>
  <c r="J316" i="6"/>
  <c r="V315" i="6"/>
  <c r="K315" i="6"/>
  <c r="J315" i="6"/>
  <c r="V314" i="6"/>
  <c r="K314" i="6"/>
  <c r="V313" i="6"/>
  <c r="T313" i="6"/>
  <c r="K313" i="6"/>
  <c r="J313" i="6"/>
  <c r="V312" i="6"/>
  <c r="J311" i="6"/>
  <c r="V310" i="6"/>
  <c r="U310" i="6"/>
  <c r="K310" i="6"/>
  <c r="J310" i="6"/>
  <c r="V309" i="6"/>
  <c r="U309" i="6"/>
  <c r="K309" i="6"/>
  <c r="J309" i="6"/>
  <c r="V308" i="6"/>
  <c r="U308" i="6"/>
  <c r="K308" i="6"/>
  <c r="J308" i="6"/>
  <c r="V307" i="6"/>
  <c r="U307" i="6"/>
  <c r="J307" i="6"/>
  <c r="V306" i="6"/>
  <c r="J306" i="6"/>
  <c r="V305" i="6"/>
  <c r="U305" i="6"/>
  <c r="J305" i="6"/>
  <c r="V304" i="6"/>
  <c r="U304" i="6"/>
  <c r="K304" i="6"/>
  <c r="J304" i="6"/>
  <c r="V303" i="6"/>
  <c r="U303" i="6"/>
  <c r="J303" i="6"/>
  <c r="V302" i="6"/>
  <c r="U302" i="6"/>
  <c r="J302" i="6"/>
  <c r="V301" i="6"/>
  <c r="U301" i="6"/>
  <c r="J301" i="6"/>
  <c r="V300" i="6"/>
  <c r="U300" i="6"/>
  <c r="K300" i="6"/>
  <c r="J300" i="6"/>
  <c r="V299" i="6"/>
  <c r="U299" i="6"/>
  <c r="J299" i="6"/>
  <c r="V298" i="6"/>
  <c r="J298" i="6"/>
  <c r="V297" i="6"/>
  <c r="U297" i="6"/>
  <c r="J297" i="6"/>
  <c r="V296" i="6"/>
  <c r="U296" i="6"/>
  <c r="J296" i="6"/>
  <c r="V295" i="6"/>
  <c r="U295" i="6"/>
  <c r="K295" i="6"/>
  <c r="J295" i="6"/>
  <c r="V294" i="6"/>
  <c r="U294" i="6"/>
  <c r="J294" i="6"/>
  <c r="V293" i="6"/>
  <c r="U293" i="6"/>
  <c r="J293" i="6"/>
  <c r="V292" i="6"/>
  <c r="J292" i="6"/>
  <c r="V291" i="6"/>
  <c r="J291" i="6"/>
  <c r="V290" i="6"/>
  <c r="U290" i="6"/>
  <c r="J290" i="6"/>
  <c r="V289" i="6"/>
  <c r="U289" i="6"/>
  <c r="J289" i="6"/>
  <c r="V288" i="6"/>
  <c r="U288" i="6"/>
  <c r="K288" i="6"/>
  <c r="J288" i="6"/>
  <c r="V287" i="6"/>
  <c r="U287" i="6"/>
  <c r="K287" i="6"/>
  <c r="J287" i="6"/>
  <c r="V286" i="6"/>
  <c r="U286" i="6"/>
  <c r="K286" i="6"/>
  <c r="J286" i="6"/>
  <c r="V285" i="6"/>
  <c r="U285" i="6"/>
  <c r="K285" i="6"/>
  <c r="J285" i="6"/>
  <c r="V284" i="6"/>
  <c r="V283" i="6"/>
  <c r="V282" i="6"/>
  <c r="U282" i="6"/>
  <c r="J282" i="6"/>
  <c r="V281" i="6"/>
  <c r="U281" i="6"/>
  <c r="J281" i="6"/>
  <c r="V280" i="6"/>
  <c r="U280" i="6"/>
  <c r="J280" i="6"/>
  <c r="V279" i="6"/>
  <c r="U279" i="6"/>
  <c r="K279" i="6"/>
  <c r="J279" i="6"/>
  <c r="V278" i="6"/>
  <c r="U278" i="6"/>
  <c r="K278" i="6"/>
  <c r="J278" i="6"/>
  <c r="V277" i="6"/>
  <c r="U277" i="6"/>
  <c r="K277" i="6"/>
  <c r="J277" i="6"/>
  <c r="V276" i="6"/>
  <c r="V275" i="6"/>
  <c r="U275" i="6"/>
  <c r="K275" i="6"/>
  <c r="J275" i="6"/>
  <c r="V274" i="6"/>
  <c r="U274" i="6"/>
  <c r="K274" i="6"/>
  <c r="J274" i="6"/>
  <c r="V273" i="6"/>
  <c r="U273" i="6"/>
  <c r="K273" i="6"/>
  <c r="J273" i="6"/>
  <c r="V272" i="6"/>
  <c r="U272" i="6"/>
  <c r="K272" i="6"/>
  <c r="J272" i="6"/>
  <c r="V271" i="6"/>
  <c r="U271" i="6"/>
  <c r="K271" i="6"/>
  <c r="J271" i="6"/>
  <c r="V270" i="6"/>
  <c r="U270" i="6"/>
  <c r="K270" i="6"/>
  <c r="J270" i="6"/>
  <c r="V269" i="6"/>
  <c r="U269" i="6"/>
  <c r="K269" i="6"/>
  <c r="J269" i="6"/>
  <c r="V268" i="6"/>
  <c r="U268" i="6"/>
  <c r="K268" i="6"/>
  <c r="J268" i="6"/>
  <c r="V267" i="6"/>
  <c r="U267" i="6"/>
  <c r="K267" i="6"/>
  <c r="J267" i="6"/>
  <c r="V266" i="6"/>
  <c r="U266" i="6"/>
  <c r="K266" i="6"/>
  <c r="J266" i="6"/>
  <c r="V265" i="6"/>
  <c r="U265" i="6"/>
  <c r="K265" i="6"/>
  <c r="J265" i="6"/>
  <c r="V264" i="6"/>
  <c r="J264" i="6"/>
  <c r="V263" i="6"/>
  <c r="J263" i="6"/>
  <c r="V262" i="6"/>
  <c r="U262" i="6"/>
  <c r="K262" i="6"/>
  <c r="J262" i="6"/>
  <c r="V261" i="6"/>
  <c r="U261" i="6"/>
  <c r="K261" i="6"/>
  <c r="J261" i="6"/>
  <c r="V260" i="6"/>
  <c r="U260" i="6"/>
  <c r="J260" i="6"/>
  <c r="V259" i="6"/>
  <c r="U259" i="6"/>
  <c r="J259" i="6"/>
  <c r="V258" i="6"/>
  <c r="J258" i="6"/>
  <c r="V257" i="6"/>
  <c r="U257" i="6"/>
  <c r="K257" i="6"/>
  <c r="J257" i="6"/>
  <c r="V256" i="6"/>
  <c r="U256" i="6"/>
  <c r="K256" i="6"/>
  <c r="J256" i="6"/>
  <c r="V255" i="6"/>
  <c r="U255" i="6"/>
  <c r="K255" i="6"/>
  <c r="J255" i="6"/>
  <c r="V254" i="6"/>
  <c r="U254" i="6"/>
  <c r="K254" i="6"/>
  <c r="J254" i="6"/>
  <c r="V253" i="6"/>
  <c r="U253" i="6"/>
  <c r="K253" i="6"/>
  <c r="J253" i="6"/>
  <c r="V252" i="6"/>
  <c r="U252" i="6"/>
  <c r="K252" i="6"/>
  <c r="J252" i="6"/>
  <c r="V251" i="6"/>
  <c r="U251" i="6"/>
  <c r="K251" i="6"/>
  <c r="J251" i="6"/>
  <c r="V250" i="6"/>
  <c r="U250" i="6"/>
  <c r="K250" i="6"/>
  <c r="J250" i="6"/>
  <c r="V249" i="6"/>
  <c r="U249" i="6"/>
  <c r="K249" i="6"/>
  <c r="J249" i="6"/>
  <c r="V248" i="6"/>
  <c r="U248" i="6"/>
  <c r="J248" i="6"/>
  <c r="V247" i="6"/>
  <c r="U247" i="6"/>
  <c r="J247" i="6"/>
  <c r="V246" i="6"/>
  <c r="U246" i="6"/>
  <c r="K246" i="6"/>
  <c r="J246" i="6"/>
  <c r="V245" i="6"/>
  <c r="U245" i="6"/>
  <c r="K245" i="6"/>
  <c r="J245" i="6"/>
  <c r="V244" i="6"/>
  <c r="U244" i="6"/>
  <c r="K244" i="6"/>
  <c r="J244" i="6"/>
  <c r="V243" i="6"/>
  <c r="U243" i="6"/>
  <c r="K243" i="6"/>
  <c r="J243" i="6"/>
  <c r="V242" i="6"/>
  <c r="U242" i="6"/>
  <c r="J242" i="6"/>
  <c r="V241" i="6"/>
  <c r="U241" i="6"/>
  <c r="J241" i="6"/>
  <c r="V240" i="6"/>
  <c r="J240" i="6"/>
  <c r="V239" i="6"/>
  <c r="U239" i="6"/>
  <c r="K239" i="6"/>
  <c r="J239" i="6"/>
  <c r="V238" i="6"/>
  <c r="U238" i="6"/>
  <c r="K238" i="6"/>
  <c r="J238" i="6"/>
  <c r="V237" i="6"/>
  <c r="U237" i="6"/>
  <c r="K237" i="6"/>
  <c r="J237" i="6"/>
  <c r="V236" i="6"/>
  <c r="U236" i="6"/>
  <c r="K236" i="6"/>
  <c r="J236" i="6"/>
  <c r="V235" i="6"/>
  <c r="U235" i="6"/>
  <c r="K235" i="6"/>
  <c r="J235" i="6"/>
  <c r="V234" i="6"/>
  <c r="U234" i="6"/>
  <c r="K234" i="6"/>
  <c r="J234" i="6"/>
  <c r="V233" i="6"/>
  <c r="U233" i="6"/>
  <c r="K233" i="6"/>
  <c r="J233" i="6"/>
  <c r="V232" i="6"/>
  <c r="V231" i="6"/>
  <c r="U231" i="6"/>
  <c r="K231" i="6"/>
  <c r="J231" i="6"/>
  <c r="V230" i="6"/>
  <c r="U230" i="6"/>
  <c r="J230" i="6"/>
  <c r="V229" i="6"/>
  <c r="V228" i="6"/>
  <c r="V227" i="6"/>
  <c r="U227" i="6"/>
  <c r="J227" i="6"/>
  <c r="V226" i="6"/>
  <c r="U226" i="6"/>
  <c r="K226" i="6"/>
  <c r="J226" i="6"/>
  <c r="V225" i="6"/>
  <c r="V224" i="6"/>
  <c r="U224" i="6"/>
  <c r="K224" i="6"/>
  <c r="J224" i="6"/>
  <c r="V223" i="6"/>
  <c r="U223" i="6"/>
  <c r="K223" i="6"/>
  <c r="J223" i="6"/>
  <c r="V222" i="6"/>
  <c r="V221" i="6"/>
  <c r="V220" i="6"/>
  <c r="U220" i="6"/>
  <c r="K220" i="6"/>
  <c r="J220" i="6"/>
  <c r="V219" i="6"/>
  <c r="U219" i="6"/>
  <c r="K219" i="6"/>
  <c r="J219" i="6"/>
  <c r="V218" i="6"/>
  <c r="U218" i="6"/>
  <c r="K218" i="6"/>
  <c r="J218" i="6"/>
  <c r="V217" i="6"/>
  <c r="U217" i="6"/>
  <c r="K217" i="6"/>
  <c r="J217" i="6"/>
  <c r="V216" i="6"/>
  <c r="U216" i="6"/>
  <c r="K216" i="6"/>
  <c r="J216" i="6"/>
  <c r="V215" i="6"/>
  <c r="U215" i="6"/>
  <c r="K215" i="6"/>
  <c r="J215" i="6"/>
  <c r="V214" i="6"/>
  <c r="U214" i="6"/>
  <c r="K214" i="6"/>
  <c r="J214" i="6"/>
  <c r="V213" i="6"/>
  <c r="U213" i="6"/>
  <c r="K213" i="6"/>
  <c r="J213" i="6"/>
  <c r="V212" i="6"/>
  <c r="U212" i="6"/>
  <c r="K212" i="6"/>
  <c r="J212" i="6"/>
  <c r="V211" i="6"/>
  <c r="U211" i="6"/>
  <c r="K211" i="6"/>
  <c r="J211" i="6"/>
  <c r="V210" i="6"/>
  <c r="U210" i="6"/>
  <c r="K210" i="6"/>
  <c r="J210" i="6"/>
  <c r="V209" i="6"/>
  <c r="U209" i="6"/>
  <c r="K209" i="6"/>
  <c r="J209" i="6"/>
  <c r="V208" i="6"/>
  <c r="U208" i="6"/>
  <c r="K208" i="6"/>
  <c r="J208" i="6"/>
  <c r="V207" i="6"/>
  <c r="U207" i="6"/>
  <c r="K207" i="6"/>
  <c r="J207" i="6"/>
  <c r="V206" i="6"/>
  <c r="U206" i="6"/>
  <c r="K206" i="6"/>
  <c r="J206" i="6"/>
  <c r="V205" i="6"/>
  <c r="J205" i="6"/>
  <c r="V204" i="6"/>
  <c r="U204" i="6"/>
  <c r="J204" i="6"/>
  <c r="V203" i="6"/>
  <c r="U203" i="6"/>
  <c r="K203" i="6"/>
  <c r="J203" i="6"/>
  <c r="V202" i="6"/>
  <c r="U202" i="6"/>
  <c r="K202" i="6"/>
  <c r="J202" i="6"/>
  <c r="V201" i="6"/>
  <c r="U201" i="6"/>
  <c r="K201" i="6"/>
  <c r="J201" i="6"/>
  <c r="V200" i="6"/>
  <c r="U200" i="6"/>
  <c r="K200" i="6"/>
  <c r="J200" i="6"/>
  <c r="V199" i="6"/>
  <c r="U199" i="6"/>
  <c r="K199" i="6"/>
  <c r="J199" i="6"/>
  <c r="V198" i="6"/>
  <c r="U198" i="6"/>
  <c r="K198" i="6"/>
  <c r="J198" i="6"/>
  <c r="V197" i="6"/>
  <c r="U197" i="6"/>
  <c r="K197" i="6"/>
  <c r="J197" i="6"/>
  <c r="V196" i="6"/>
  <c r="U196" i="6"/>
  <c r="K196" i="6"/>
  <c r="J196" i="6"/>
  <c r="V195" i="6"/>
  <c r="U195" i="6"/>
  <c r="K195" i="6"/>
  <c r="J195" i="6"/>
  <c r="V194" i="6"/>
  <c r="V193" i="6"/>
  <c r="U193" i="6"/>
  <c r="K193" i="6"/>
  <c r="J193" i="6"/>
  <c r="V192" i="6"/>
  <c r="U192" i="6"/>
  <c r="K192" i="6"/>
  <c r="J192" i="6"/>
  <c r="V191" i="6"/>
  <c r="U191" i="6"/>
  <c r="J191" i="6"/>
  <c r="V190" i="6"/>
  <c r="V189" i="6"/>
  <c r="U189" i="6"/>
  <c r="K189" i="6"/>
  <c r="J189" i="6"/>
  <c r="V188" i="6"/>
  <c r="U188" i="6"/>
  <c r="K188" i="6"/>
  <c r="J188" i="6"/>
  <c r="V187" i="6"/>
  <c r="U187" i="6"/>
  <c r="K187" i="6"/>
  <c r="J187" i="6"/>
  <c r="V186" i="6"/>
  <c r="U186" i="6"/>
  <c r="K186" i="6"/>
  <c r="J186" i="6"/>
  <c r="V185" i="6"/>
  <c r="U185" i="6"/>
  <c r="K185" i="6"/>
  <c r="J185" i="6"/>
  <c r="V184" i="6"/>
  <c r="U184" i="6"/>
  <c r="K184" i="6"/>
  <c r="J184" i="6"/>
  <c r="V183" i="6"/>
  <c r="V182" i="6"/>
  <c r="U182" i="6"/>
  <c r="K182" i="6"/>
  <c r="J182" i="6"/>
  <c r="J181" i="6"/>
  <c r="V180" i="6"/>
  <c r="U180" i="6"/>
  <c r="K180" i="6"/>
  <c r="J180" i="6"/>
  <c r="V179" i="6"/>
  <c r="J178" i="6"/>
  <c r="V177" i="6"/>
  <c r="U177" i="6"/>
  <c r="K177" i="6"/>
  <c r="J177" i="6"/>
  <c r="V176" i="6"/>
  <c r="U176" i="6"/>
  <c r="K176" i="6"/>
  <c r="J176" i="6"/>
  <c r="V175" i="6"/>
  <c r="U175" i="6"/>
  <c r="K175" i="6"/>
  <c r="J175" i="6"/>
  <c r="V174" i="6"/>
  <c r="J174" i="6"/>
  <c r="V173" i="6"/>
  <c r="U173" i="6"/>
  <c r="K173" i="6"/>
  <c r="J173" i="6"/>
  <c r="V172" i="6"/>
  <c r="U172" i="6"/>
  <c r="K172" i="6"/>
  <c r="J172" i="6"/>
  <c r="V171" i="6"/>
  <c r="U171" i="6"/>
  <c r="K171" i="6"/>
  <c r="J171" i="6"/>
  <c r="V170" i="6"/>
  <c r="U170" i="6"/>
  <c r="K170" i="6"/>
  <c r="J170" i="6"/>
  <c r="V169" i="6"/>
  <c r="V168" i="6"/>
  <c r="U168" i="6"/>
  <c r="K168" i="6"/>
  <c r="J168" i="6"/>
  <c r="V167" i="6"/>
  <c r="U167" i="6"/>
  <c r="K167" i="6"/>
  <c r="J167" i="6"/>
  <c r="V166" i="6"/>
  <c r="U166" i="6"/>
  <c r="K166" i="6"/>
  <c r="J166" i="6"/>
  <c r="V165" i="6"/>
  <c r="U165" i="6"/>
  <c r="K165" i="6"/>
  <c r="J165" i="6"/>
  <c r="V164" i="6"/>
  <c r="U164" i="6"/>
  <c r="K164" i="6"/>
  <c r="V163" i="6"/>
  <c r="U163" i="6"/>
  <c r="K163" i="6"/>
  <c r="J163" i="6"/>
  <c r="V162" i="6"/>
  <c r="U162" i="6"/>
  <c r="K162" i="6"/>
  <c r="J162" i="6"/>
  <c r="V161" i="6"/>
  <c r="U161" i="6"/>
  <c r="K161" i="6"/>
  <c r="J161" i="6"/>
  <c r="V160" i="6"/>
  <c r="U160" i="6"/>
  <c r="K160" i="6"/>
  <c r="J160" i="6"/>
  <c r="V159" i="6"/>
  <c r="U159" i="6"/>
  <c r="K159" i="6"/>
  <c r="J159" i="6"/>
  <c r="V158" i="6"/>
  <c r="U158" i="6"/>
  <c r="K158" i="6"/>
  <c r="J158" i="6"/>
  <c r="V157" i="6"/>
  <c r="U157" i="6"/>
  <c r="K157" i="6"/>
  <c r="J157" i="6"/>
  <c r="V156" i="6"/>
  <c r="U156" i="6"/>
  <c r="K156" i="6"/>
  <c r="V155" i="6"/>
  <c r="U155" i="6"/>
  <c r="K155" i="6"/>
  <c r="J155" i="6"/>
  <c r="V154" i="6"/>
  <c r="U154" i="6"/>
  <c r="K154" i="6"/>
  <c r="V153" i="6"/>
  <c r="U153" i="6"/>
  <c r="K153" i="6"/>
  <c r="V152" i="6"/>
  <c r="U152" i="6"/>
  <c r="K152" i="6"/>
  <c r="V151" i="6"/>
  <c r="U151" i="6"/>
  <c r="V150" i="6"/>
  <c r="U150" i="6"/>
  <c r="K150" i="6"/>
  <c r="J150" i="6"/>
  <c r="V149" i="6"/>
  <c r="U149" i="6"/>
  <c r="K149" i="6"/>
  <c r="J149" i="6"/>
  <c r="V148" i="6"/>
  <c r="U148" i="6"/>
  <c r="K148" i="6"/>
  <c r="J148" i="6"/>
  <c r="V147" i="6"/>
  <c r="U147" i="6"/>
  <c r="K147" i="6"/>
  <c r="J147" i="6"/>
  <c r="V146" i="6"/>
  <c r="U146" i="6"/>
  <c r="K146" i="6"/>
  <c r="V145" i="6"/>
  <c r="U145" i="6"/>
  <c r="K145" i="6"/>
  <c r="V144" i="6"/>
  <c r="U144" i="6"/>
  <c r="K144" i="6"/>
  <c r="J144" i="6"/>
  <c r="V143" i="6"/>
  <c r="U143" i="6"/>
  <c r="K143" i="6"/>
  <c r="J143" i="6"/>
  <c r="V142" i="6"/>
  <c r="U142" i="6"/>
  <c r="K142" i="6"/>
  <c r="J142" i="6"/>
  <c r="V141" i="6"/>
  <c r="U141" i="6"/>
  <c r="K141" i="6"/>
  <c r="J141" i="6"/>
  <c r="V140" i="6"/>
  <c r="U140" i="6"/>
  <c r="K140" i="6"/>
  <c r="J140" i="6"/>
  <c r="V139" i="6"/>
  <c r="U139" i="6"/>
  <c r="K139" i="6"/>
  <c r="J139" i="6"/>
  <c r="V138" i="6"/>
  <c r="U138" i="6"/>
  <c r="K138" i="6"/>
  <c r="V137" i="6"/>
  <c r="U137" i="6"/>
  <c r="K137" i="6"/>
  <c r="J137" i="6"/>
  <c r="V136" i="6"/>
  <c r="U136" i="6"/>
  <c r="K136" i="6"/>
  <c r="J136" i="6"/>
  <c r="V135" i="6"/>
  <c r="U135" i="6"/>
  <c r="K135" i="6"/>
  <c r="J135" i="6"/>
  <c r="V134" i="6"/>
  <c r="U134" i="6"/>
  <c r="K134" i="6"/>
  <c r="J134" i="6"/>
  <c r="J133" i="6"/>
  <c r="V132" i="6"/>
  <c r="U132" i="6"/>
  <c r="K132" i="6"/>
  <c r="V131" i="6"/>
  <c r="V130" i="6"/>
  <c r="K130" i="6"/>
  <c r="V129" i="6"/>
  <c r="U129" i="6"/>
  <c r="K129" i="6"/>
  <c r="J129" i="6"/>
  <c r="V128" i="6"/>
  <c r="U128" i="6"/>
  <c r="K128" i="6"/>
  <c r="J128" i="6"/>
  <c r="V125" i="6"/>
  <c r="U125" i="6"/>
  <c r="K125" i="6"/>
  <c r="J125" i="6"/>
  <c r="V123" i="6"/>
  <c r="U123" i="6"/>
  <c r="V122" i="6"/>
  <c r="U122" i="6"/>
  <c r="J122" i="6"/>
  <c r="V121" i="6"/>
  <c r="U121" i="6"/>
  <c r="J121" i="6"/>
  <c r="V120" i="6"/>
  <c r="U120" i="6"/>
  <c r="J120" i="6"/>
  <c r="J119" i="6"/>
  <c r="J118" i="6"/>
  <c r="V117" i="6"/>
  <c r="V116" i="6"/>
  <c r="U116" i="6"/>
  <c r="K116" i="6"/>
  <c r="J116" i="6"/>
  <c r="V115" i="6"/>
  <c r="U115" i="6"/>
  <c r="K115" i="6"/>
  <c r="J115" i="6"/>
  <c r="V114" i="6"/>
  <c r="U114" i="6"/>
  <c r="K114" i="6"/>
  <c r="J114" i="6"/>
  <c r="V113" i="6"/>
  <c r="U113" i="6"/>
  <c r="K113" i="6"/>
  <c r="J113" i="6"/>
  <c r="V112" i="6"/>
  <c r="U112" i="6"/>
  <c r="K112" i="6"/>
  <c r="J112" i="6"/>
  <c r="V111" i="6"/>
  <c r="U111" i="6"/>
  <c r="K111" i="6"/>
  <c r="J111" i="6"/>
  <c r="V110" i="6"/>
  <c r="U110" i="6"/>
  <c r="K110" i="6"/>
  <c r="V109" i="6"/>
  <c r="J109" i="6"/>
  <c r="V108" i="6"/>
  <c r="J108" i="6"/>
  <c r="V107" i="6"/>
  <c r="J107" i="6"/>
  <c r="V106" i="6"/>
  <c r="J106" i="6"/>
  <c r="V105" i="6"/>
  <c r="V104" i="6"/>
  <c r="V103" i="6"/>
  <c r="V102" i="6"/>
  <c r="V101" i="6"/>
  <c r="V100" i="6"/>
  <c r="J98" i="6"/>
  <c r="V97" i="6"/>
  <c r="U97" i="6"/>
  <c r="K97" i="6"/>
  <c r="V95" i="6"/>
  <c r="V94" i="6"/>
  <c r="U94" i="6"/>
  <c r="K94" i="6"/>
  <c r="J94" i="6"/>
  <c r="V93" i="6"/>
  <c r="U93" i="6"/>
  <c r="K93" i="6"/>
  <c r="V92" i="6"/>
  <c r="U92" i="6"/>
  <c r="J92" i="6"/>
  <c r="J91" i="6"/>
  <c r="W90" i="6"/>
  <c r="V90" i="6"/>
  <c r="K90" i="6"/>
  <c r="V89" i="6"/>
  <c r="U89" i="6"/>
  <c r="V88" i="6"/>
  <c r="U88" i="6"/>
  <c r="K88" i="6"/>
  <c r="J88" i="6"/>
  <c r="V87" i="6"/>
  <c r="U87" i="6"/>
  <c r="K87" i="6"/>
  <c r="J87" i="6"/>
  <c r="V86" i="6"/>
  <c r="U86" i="6"/>
  <c r="K86" i="6"/>
  <c r="J86" i="6"/>
  <c r="V85" i="6"/>
  <c r="U85" i="6"/>
  <c r="V84" i="6"/>
  <c r="U84" i="6"/>
  <c r="K84" i="6"/>
  <c r="J84" i="6"/>
  <c r="V83" i="6"/>
  <c r="U83" i="6"/>
  <c r="J83" i="6"/>
  <c r="V82" i="6"/>
  <c r="J82" i="6"/>
  <c r="J81" i="6"/>
  <c r="V80" i="6"/>
  <c r="U80" i="6"/>
  <c r="J80" i="6"/>
  <c r="J79" i="6"/>
  <c r="V78" i="6"/>
  <c r="V77" i="6"/>
  <c r="U77" i="6"/>
  <c r="K77" i="6"/>
  <c r="J77" i="6"/>
  <c r="V76" i="6"/>
  <c r="U76" i="6"/>
  <c r="K76" i="6"/>
  <c r="J76" i="6"/>
  <c r="V75" i="6"/>
  <c r="U75" i="6"/>
  <c r="K75" i="6"/>
  <c r="J75" i="6"/>
  <c r="V74" i="6"/>
  <c r="U74" i="6"/>
  <c r="K74" i="6"/>
  <c r="J74" i="6"/>
  <c r="V73" i="6"/>
  <c r="U73" i="6"/>
  <c r="K73" i="6"/>
  <c r="J73" i="6"/>
  <c r="V72" i="6"/>
  <c r="U72" i="6"/>
  <c r="K72" i="6"/>
  <c r="V71" i="6"/>
  <c r="U71" i="6"/>
  <c r="K71" i="6"/>
  <c r="J71" i="6"/>
  <c r="V70" i="6"/>
  <c r="U70" i="6"/>
  <c r="K70" i="6"/>
  <c r="J70" i="6"/>
  <c r="J69" i="6"/>
  <c r="V68" i="6"/>
  <c r="U68" i="6"/>
  <c r="K68" i="6"/>
  <c r="J68" i="6"/>
  <c r="V67" i="6"/>
  <c r="U67" i="6"/>
  <c r="K67" i="6"/>
  <c r="J67" i="6"/>
  <c r="V66" i="6"/>
  <c r="U66" i="6"/>
  <c r="K66" i="6"/>
  <c r="J66" i="6"/>
  <c r="V65" i="6"/>
  <c r="U65" i="6"/>
  <c r="J65" i="6"/>
  <c r="V64" i="6"/>
  <c r="U64" i="6"/>
  <c r="J64" i="6"/>
  <c r="V63" i="6"/>
  <c r="U63" i="6"/>
  <c r="K63" i="6"/>
  <c r="J63" i="6"/>
  <c r="V62" i="6"/>
  <c r="U62" i="6"/>
  <c r="K62" i="6"/>
  <c r="J62" i="6"/>
  <c r="H62" i="6"/>
  <c r="V61" i="6"/>
  <c r="V60" i="6"/>
  <c r="U60" i="6"/>
  <c r="K60" i="6"/>
  <c r="J60" i="6"/>
  <c r="V59" i="6"/>
  <c r="U59" i="6"/>
  <c r="K59" i="6"/>
  <c r="J59" i="6"/>
  <c r="V58" i="6"/>
  <c r="U58" i="6"/>
  <c r="K58" i="6"/>
  <c r="J58" i="6"/>
  <c r="V57" i="6"/>
  <c r="U57" i="6"/>
  <c r="J57" i="6"/>
  <c r="V56" i="6"/>
  <c r="U56" i="6"/>
  <c r="K56" i="6"/>
  <c r="J56" i="6"/>
  <c r="V55" i="6"/>
  <c r="U55" i="6"/>
  <c r="K55" i="6"/>
  <c r="J55" i="6"/>
  <c r="V54" i="6"/>
  <c r="J54" i="6"/>
  <c r="V53" i="6"/>
  <c r="U53" i="6"/>
  <c r="K53" i="6"/>
  <c r="J53" i="6"/>
  <c r="J52" i="6"/>
  <c r="V51" i="6"/>
  <c r="U51" i="6"/>
  <c r="K51" i="6"/>
  <c r="J51" i="6"/>
  <c r="V50" i="6"/>
  <c r="U50" i="6"/>
  <c r="K50" i="6"/>
  <c r="J50" i="6"/>
  <c r="V49" i="6"/>
  <c r="U49" i="6"/>
  <c r="J49" i="6"/>
  <c r="V48" i="6"/>
  <c r="V47" i="6"/>
  <c r="U47" i="6"/>
  <c r="K47" i="6"/>
  <c r="J47" i="6"/>
  <c r="V46" i="6"/>
  <c r="U46" i="6"/>
  <c r="K46" i="6"/>
  <c r="J46" i="6"/>
  <c r="V45" i="6"/>
  <c r="U45" i="6"/>
  <c r="K45" i="6"/>
  <c r="V44" i="6"/>
  <c r="U44" i="6"/>
  <c r="K44" i="6"/>
  <c r="V43" i="6"/>
  <c r="U43" i="6"/>
  <c r="K43" i="6"/>
  <c r="J43" i="6"/>
  <c r="V42" i="6"/>
  <c r="U42" i="6"/>
  <c r="J42" i="6"/>
  <c r="V41" i="6"/>
  <c r="V40" i="6"/>
  <c r="U40" i="6"/>
  <c r="K40" i="6"/>
  <c r="J40" i="6"/>
  <c r="V39" i="6"/>
  <c r="U39" i="6"/>
  <c r="K39" i="6"/>
  <c r="J39" i="6"/>
  <c r="V38" i="6"/>
  <c r="U38" i="6"/>
  <c r="K38" i="6"/>
  <c r="J38" i="6"/>
  <c r="V37" i="6"/>
  <c r="U37" i="6"/>
  <c r="K37" i="6"/>
  <c r="V36" i="6"/>
  <c r="U36" i="6"/>
  <c r="K36" i="6"/>
  <c r="V35" i="6"/>
  <c r="U35" i="6"/>
  <c r="K35" i="6"/>
  <c r="J35" i="6"/>
  <c r="V34" i="6"/>
  <c r="U34" i="6"/>
  <c r="K34" i="6"/>
  <c r="J34" i="6"/>
  <c r="V33" i="6"/>
  <c r="U33" i="6"/>
  <c r="K33" i="6"/>
  <c r="J33" i="6"/>
  <c r="U32" i="6"/>
  <c r="J32" i="6"/>
  <c r="V31" i="6"/>
  <c r="U31" i="6"/>
  <c r="K31" i="6"/>
  <c r="J31" i="6"/>
  <c r="V30" i="6"/>
  <c r="U30" i="6"/>
  <c r="K30" i="6"/>
  <c r="J30" i="6"/>
  <c r="V29" i="6"/>
  <c r="V28" i="6"/>
  <c r="U28" i="6"/>
  <c r="K28" i="6"/>
  <c r="J28" i="6"/>
  <c r="V27" i="6"/>
  <c r="U27" i="6"/>
  <c r="K27" i="6"/>
  <c r="J27" i="6"/>
  <c r="V26" i="6"/>
  <c r="U26" i="6"/>
  <c r="K26" i="6"/>
  <c r="J26" i="6"/>
  <c r="V25" i="6"/>
  <c r="V24" i="6"/>
  <c r="V23" i="6"/>
  <c r="U23" i="6"/>
  <c r="J23" i="6"/>
  <c r="V22" i="6"/>
  <c r="U22" i="6"/>
  <c r="K22" i="6"/>
  <c r="J22" i="6"/>
  <c r="V21" i="6"/>
  <c r="V20" i="6"/>
  <c r="U20" i="6"/>
  <c r="J20" i="6"/>
  <c r="V19" i="6"/>
  <c r="V4" i="6"/>
  <c r="W68" i="6" s="1"/>
  <c r="V5" i="6"/>
  <c r="V7" i="6"/>
  <c r="V8" i="6"/>
  <c r="V9" i="6"/>
  <c r="V10" i="6"/>
  <c r="V11" i="6"/>
  <c r="V12" i="6"/>
  <c r="V13" i="6"/>
  <c r="V15" i="6"/>
  <c r="V16" i="6"/>
  <c r="V17" i="6"/>
  <c r="U19" i="6"/>
  <c r="J19" i="6"/>
  <c r="J18" i="6"/>
  <c r="U17" i="6"/>
  <c r="J17" i="6"/>
  <c r="U16" i="6"/>
  <c r="J16" i="6"/>
  <c r="U15" i="6"/>
  <c r="J15" i="6"/>
  <c r="J14" i="6"/>
  <c r="U13" i="6"/>
  <c r="J13" i="6"/>
  <c r="U12" i="6"/>
  <c r="J12" i="6"/>
  <c r="U11" i="6"/>
  <c r="J11" i="6"/>
  <c r="U10" i="6"/>
  <c r="J10" i="6"/>
  <c r="U9" i="6"/>
  <c r="J9" i="6"/>
  <c r="U8" i="6"/>
  <c r="J8" i="6"/>
  <c r="J7" i="6"/>
  <c r="J6" i="6"/>
  <c r="U5" i="6"/>
  <c r="J5" i="6"/>
  <c r="U4" i="6"/>
  <c r="J4" i="6"/>
  <c r="V3" i="6"/>
  <c r="U3" i="6"/>
  <c r="V2" i="6"/>
  <c r="J408" i="5"/>
  <c r="J407" i="5"/>
  <c r="V406" i="5"/>
  <c r="J406" i="5"/>
  <c r="V405" i="5"/>
  <c r="J405" i="5"/>
  <c r="V404" i="5"/>
  <c r="J404" i="5"/>
  <c r="V403" i="5"/>
  <c r="J403" i="5"/>
  <c r="V402" i="5"/>
  <c r="J402" i="5"/>
  <c r="V401" i="5"/>
  <c r="J401" i="5"/>
  <c r="V400" i="5"/>
  <c r="J400" i="5"/>
  <c r="V399" i="5"/>
  <c r="J399" i="5"/>
  <c r="V398" i="5"/>
  <c r="J398" i="5"/>
  <c r="V397" i="5"/>
  <c r="J397" i="5"/>
  <c r="V396" i="5"/>
  <c r="J396" i="5"/>
  <c r="V395" i="5"/>
  <c r="J395" i="5"/>
  <c r="V394" i="5"/>
  <c r="J394" i="5"/>
  <c r="V393" i="5"/>
  <c r="J393" i="5"/>
  <c r="V392" i="5"/>
  <c r="J392" i="5"/>
  <c r="V391" i="5"/>
  <c r="J391" i="5"/>
  <c r="V390" i="5"/>
  <c r="J390" i="5"/>
  <c r="V389" i="5"/>
  <c r="J389" i="5"/>
  <c r="V388" i="5"/>
  <c r="J388" i="5"/>
  <c r="V387" i="5"/>
  <c r="J387" i="5"/>
  <c r="V386" i="5"/>
  <c r="J386" i="5"/>
  <c r="V385" i="5"/>
  <c r="J385" i="5"/>
  <c r="V384" i="5"/>
  <c r="J384" i="5"/>
  <c r="V383" i="5"/>
  <c r="J383" i="5"/>
  <c r="V382" i="5"/>
  <c r="J382" i="5"/>
  <c r="V381" i="5"/>
  <c r="J381" i="5"/>
  <c r="V380" i="5"/>
  <c r="J380" i="5"/>
  <c r="V379" i="5"/>
  <c r="J379" i="5"/>
  <c r="V378" i="5"/>
  <c r="J378" i="5"/>
  <c r="V377" i="5"/>
  <c r="J377" i="5"/>
  <c r="V376" i="5"/>
  <c r="J376" i="5"/>
  <c r="V375" i="5"/>
  <c r="J375" i="5"/>
  <c r="V374" i="5"/>
  <c r="J374" i="5"/>
  <c r="V373" i="5"/>
  <c r="J373" i="5"/>
  <c r="V372" i="5"/>
  <c r="J372" i="5"/>
  <c r="V371" i="5"/>
  <c r="J371" i="5"/>
  <c r="V370" i="5"/>
  <c r="J370" i="5"/>
  <c r="V369" i="5"/>
  <c r="J369" i="5"/>
  <c r="V368" i="5"/>
  <c r="J368" i="5"/>
  <c r="V367" i="5"/>
  <c r="J367" i="5"/>
  <c r="V366" i="5"/>
  <c r="J366" i="5"/>
  <c r="V365" i="5"/>
  <c r="J365" i="5"/>
  <c r="V364" i="5"/>
  <c r="J364" i="5"/>
  <c r="V363" i="5"/>
  <c r="J363" i="5"/>
  <c r="V362" i="5"/>
  <c r="J362" i="5"/>
  <c r="V361" i="5"/>
  <c r="J361" i="5"/>
  <c r="V360" i="5"/>
  <c r="J360" i="5"/>
  <c r="V359" i="5"/>
  <c r="J359" i="5"/>
  <c r="V358" i="5"/>
  <c r="J358" i="5"/>
  <c r="V357" i="5"/>
  <c r="J357" i="5"/>
  <c r="V356" i="5"/>
  <c r="J356" i="5"/>
  <c r="V355" i="5"/>
  <c r="J355" i="5"/>
  <c r="V354" i="5"/>
  <c r="J354" i="5"/>
  <c r="V353" i="5"/>
  <c r="J353" i="5"/>
  <c r="V352" i="5"/>
  <c r="J352" i="5"/>
  <c r="V351" i="5"/>
  <c r="J351" i="5"/>
  <c r="V350" i="5"/>
  <c r="J350" i="5"/>
  <c r="V349" i="5"/>
  <c r="J349" i="5"/>
  <c r="V348" i="5"/>
  <c r="J348" i="5"/>
  <c r="V347" i="5"/>
  <c r="J347" i="5"/>
  <c r="V346" i="5"/>
  <c r="J346" i="5"/>
  <c r="V345" i="5"/>
  <c r="J345" i="5"/>
  <c r="V344" i="5"/>
  <c r="J344" i="5"/>
  <c r="V343" i="5"/>
  <c r="J343" i="5"/>
  <c r="V342" i="5"/>
  <c r="J342" i="5"/>
  <c r="V341" i="5"/>
  <c r="J341" i="5"/>
  <c r="V340" i="5"/>
  <c r="J340" i="5"/>
  <c r="V339" i="5"/>
  <c r="J339" i="5"/>
  <c r="V338" i="5"/>
  <c r="J338" i="5"/>
  <c r="V337" i="5"/>
  <c r="J337" i="5"/>
  <c r="V336" i="5"/>
  <c r="J336" i="5"/>
  <c r="V335" i="5"/>
  <c r="J335" i="5"/>
  <c r="V334" i="5"/>
  <c r="J334" i="5"/>
  <c r="V333" i="5"/>
  <c r="J333" i="5"/>
  <c r="V332" i="5"/>
  <c r="J332" i="5"/>
  <c r="V331" i="5"/>
  <c r="J331" i="5"/>
  <c r="V330" i="5"/>
  <c r="J330" i="5"/>
  <c r="V329" i="5"/>
  <c r="J329" i="5"/>
  <c r="V328" i="5"/>
  <c r="J328" i="5"/>
  <c r="V327" i="5"/>
  <c r="J327" i="5"/>
  <c r="V326" i="5"/>
  <c r="J326" i="5"/>
  <c r="V325" i="5"/>
  <c r="V324" i="5"/>
  <c r="U324" i="5"/>
  <c r="J324" i="5"/>
  <c r="V323" i="5"/>
  <c r="U323" i="5"/>
  <c r="K323" i="5"/>
  <c r="J323" i="5"/>
  <c r="V322" i="5"/>
  <c r="V321" i="5"/>
  <c r="U321" i="5"/>
  <c r="K321" i="5"/>
  <c r="J321" i="5"/>
  <c r="V320" i="5"/>
  <c r="J320" i="5"/>
  <c r="V319" i="5"/>
  <c r="J319" i="5"/>
  <c r="V318" i="5"/>
  <c r="V317" i="5"/>
  <c r="V316" i="5"/>
  <c r="K316" i="5"/>
  <c r="J316" i="5"/>
  <c r="V315" i="5"/>
  <c r="T315" i="5"/>
  <c r="U315" i="5" s="1"/>
  <c r="K315" i="5"/>
  <c r="J315" i="5"/>
  <c r="V314" i="5"/>
  <c r="K314" i="5"/>
  <c r="V313" i="5"/>
  <c r="T313" i="5"/>
  <c r="U313" i="5" s="1"/>
  <c r="K313" i="5"/>
  <c r="J313" i="5"/>
  <c r="V312" i="5"/>
  <c r="J311" i="5"/>
  <c r="V310" i="5"/>
  <c r="U310" i="5"/>
  <c r="K310" i="5"/>
  <c r="J310" i="5"/>
  <c r="V309" i="5"/>
  <c r="U309" i="5"/>
  <c r="K309" i="5"/>
  <c r="J309" i="5"/>
  <c r="V308" i="5"/>
  <c r="U308" i="5"/>
  <c r="K308" i="5"/>
  <c r="J308" i="5"/>
  <c r="V307" i="5"/>
  <c r="U307" i="5"/>
  <c r="J307" i="5"/>
  <c r="V306" i="5"/>
  <c r="J306" i="5"/>
  <c r="V305" i="5"/>
  <c r="U305" i="5"/>
  <c r="J305" i="5"/>
  <c r="V304" i="5"/>
  <c r="U304" i="5"/>
  <c r="K304" i="5"/>
  <c r="J304" i="5"/>
  <c r="V303" i="5"/>
  <c r="U303" i="5"/>
  <c r="J303" i="5"/>
  <c r="V302" i="5"/>
  <c r="U302" i="5"/>
  <c r="J302" i="5"/>
  <c r="V301" i="5"/>
  <c r="U301" i="5"/>
  <c r="J301" i="5"/>
  <c r="V300" i="5"/>
  <c r="W300" i="5" s="1"/>
  <c r="U300" i="5"/>
  <c r="K300" i="5"/>
  <c r="J300" i="5"/>
  <c r="V299" i="5"/>
  <c r="U299" i="5"/>
  <c r="J299" i="5"/>
  <c r="V298" i="5"/>
  <c r="J298" i="5"/>
  <c r="V297" i="5"/>
  <c r="U297" i="5"/>
  <c r="J297" i="5"/>
  <c r="V296" i="5"/>
  <c r="U296" i="5"/>
  <c r="J296" i="5"/>
  <c r="V295" i="5"/>
  <c r="U295" i="5"/>
  <c r="K295" i="5"/>
  <c r="J295" i="5"/>
  <c r="V294" i="5"/>
  <c r="U294" i="5"/>
  <c r="J294" i="5"/>
  <c r="V293" i="5"/>
  <c r="U293" i="5"/>
  <c r="J293" i="5"/>
  <c r="V292" i="5"/>
  <c r="J292" i="5"/>
  <c r="V291" i="5"/>
  <c r="J291" i="5"/>
  <c r="V290" i="5"/>
  <c r="U290" i="5"/>
  <c r="J290" i="5"/>
  <c r="V289" i="5"/>
  <c r="U289" i="5"/>
  <c r="J289" i="5"/>
  <c r="V288" i="5"/>
  <c r="U288" i="5"/>
  <c r="K288" i="5"/>
  <c r="J288" i="5"/>
  <c r="V287" i="5"/>
  <c r="U287" i="5"/>
  <c r="K287" i="5"/>
  <c r="J287" i="5"/>
  <c r="V286" i="5"/>
  <c r="U286" i="5"/>
  <c r="K286" i="5"/>
  <c r="J286" i="5"/>
  <c r="V285" i="5"/>
  <c r="U285" i="5"/>
  <c r="K285" i="5"/>
  <c r="J285" i="5"/>
  <c r="V284" i="5"/>
  <c r="V283" i="5"/>
  <c r="V282" i="5"/>
  <c r="U282" i="5"/>
  <c r="J282" i="5"/>
  <c r="V281" i="5"/>
  <c r="U281" i="5"/>
  <c r="J281" i="5"/>
  <c r="V280" i="5"/>
  <c r="U280" i="5"/>
  <c r="J280" i="5"/>
  <c r="V279" i="5"/>
  <c r="U279" i="5"/>
  <c r="K279" i="5"/>
  <c r="J279" i="5"/>
  <c r="V278" i="5"/>
  <c r="U278" i="5"/>
  <c r="K278" i="5"/>
  <c r="J278" i="5"/>
  <c r="V277" i="5"/>
  <c r="U277" i="5"/>
  <c r="K277" i="5"/>
  <c r="J277" i="5"/>
  <c r="V276" i="5"/>
  <c r="V275" i="5"/>
  <c r="U275" i="5"/>
  <c r="K275" i="5"/>
  <c r="J275" i="5"/>
  <c r="V274" i="5"/>
  <c r="U274" i="5"/>
  <c r="K274" i="5"/>
  <c r="J274" i="5"/>
  <c r="V273" i="5"/>
  <c r="U273" i="5"/>
  <c r="K273" i="5"/>
  <c r="J273" i="5"/>
  <c r="V272" i="5"/>
  <c r="U272" i="5"/>
  <c r="K272" i="5"/>
  <c r="J272" i="5"/>
  <c r="V271" i="5"/>
  <c r="U271" i="5"/>
  <c r="K271" i="5"/>
  <c r="J271" i="5"/>
  <c r="V270" i="5"/>
  <c r="U270" i="5"/>
  <c r="K270" i="5"/>
  <c r="J270" i="5"/>
  <c r="V269" i="5"/>
  <c r="U269" i="5"/>
  <c r="K269" i="5"/>
  <c r="J269" i="5"/>
  <c r="V268" i="5"/>
  <c r="U268" i="5"/>
  <c r="K268" i="5"/>
  <c r="J268" i="5"/>
  <c r="V267" i="5"/>
  <c r="U267" i="5"/>
  <c r="K267" i="5"/>
  <c r="J267" i="5"/>
  <c r="V266" i="5"/>
  <c r="U266" i="5"/>
  <c r="K266" i="5"/>
  <c r="J266" i="5"/>
  <c r="V265" i="5"/>
  <c r="U265" i="5"/>
  <c r="K265" i="5"/>
  <c r="J265" i="5"/>
  <c r="V264" i="5"/>
  <c r="J264" i="5"/>
  <c r="V263" i="5"/>
  <c r="J263" i="5"/>
  <c r="V262" i="5"/>
  <c r="U262" i="5"/>
  <c r="K262" i="5"/>
  <c r="J262" i="5"/>
  <c r="V261" i="5"/>
  <c r="U261" i="5"/>
  <c r="K261" i="5"/>
  <c r="J261" i="5"/>
  <c r="V260" i="5"/>
  <c r="U260" i="5"/>
  <c r="J260" i="5"/>
  <c r="V259" i="5"/>
  <c r="U259" i="5"/>
  <c r="J259" i="5"/>
  <c r="V258" i="5"/>
  <c r="J258" i="5"/>
  <c r="V257" i="5"/>
  <c r="U257" i="5"/>
  <c r="K257" i="5"/>
  <c r="J257" i="5"/>
  <c r="V256" i="5"/>
  <c r="U256" i="5"/>
  <c r="K256" i="5"/>
  <c r="J256" i="5"/>
  <c r="V255" i="5"/>
  <c r="U255" i="5"/>
  <c r="K255" i="5"/>
  <c r="J255" i="5"/>
  <c r="V254" i="5"/>
  <c r="U254" i="5"/>
  <c r="K254" i="5"/>
  <c r="J254" i="5"/>
  <c r="V253" i="5"/>
  <c r="U253" i="5"/>
  <c r="K253" i="5"/>
  <c r="J253" i="5"/>
  <c r="V252" i="5"/>
  <c r="U252" i="5"/>
  <c r="K252" i="5"/>
  <c r="J252" i="5"/>
  <c r="V251" i="5"/>
  <c r="U251" i="5"/>
  <c r="K251" i="5"/>
  <c r="J251" i="5"/>
  <c r="V250" i="5"/>
  <c r="U250" i="5"/>
  <c r="K250" i="5"/>
  <c r="J250" i="5"/>
  <c r="V249" i="5"/>
  <c r="U249" i="5"/>
  <c r="K249" i="5"/>
  <c r="J249" i="5"/>
  <c r="V248" i="5"/>
  <c r="U248" i="5"/>
  <c r="J248" i="5"/>
  <c r="V247" i="5"/>
  <c r="U247" i="5"/>
  <c r="J247" i="5"/>
  <c r="V246" i="5"/>
  <c r="U246" i="5"/>
  <c r="K246" i="5"/>
  <c r="J246" i="5"/>
  <c r="V245" i="5"/>
  <c r="U245" i="5"/>
  <c r="K245" i="5"/>
  <c r="J245" i="5"/>
  <c r="V244" i="5"/>
  <c r="U244" i="5"/>
  <c r="K244" i="5"/>
  <c r="J244" i="5"/>
  <c r="V243" i="5"/>
  <c r="U243" i="5"/>
  <c r="K243" i="5"/>
  <c r="J243" i="5"/>
  <c r="V242" i="5"/>
  <c r="U242" i="5"/>
  <c r="J242" i="5"/>
  <c r="V241" i="5"/>
  <c r="U241" i="5"/>
  <c r="J241" i="5"/>
  <c r="V240" i="5"/>
  <c r="J240" i="5"/>
  <c r="V239" i="5"/>
  <c r="U239" i="5"/>
  <c r="K239" i="5"/>
  <c r="J239" i="5"/>
  <c r="V238" i="5"/>
  <c r="U238" i="5"/>
  <c r="K238" i="5"/>
  <c r="J238" i="5"/>
  <c r="V237" i="5"/>
  <c r="U237" i="5"/>
  <c r="K237" i="5"/>
  <c r="J237" i="5"/>
  <c r="V236" i="5"/>
  <c r="U236" i="5"/>
  <c r="K236" i="5"/>
  <c r="J236" i="5"/>
  <c r="V235" i="5"/>
  <c r="U235" i="5"/>
  <c r="K235" i="5"/>
  <c r="J235" i="5"/>
  <c r="V234" i="5"/>
  <c r="U234" i="5"/>
  <c r="K234" i="5"/>
  <c r="J234" i="5"/>
  <c r="V233" i="5"/>
  <c r="U233" i="5"/>
  <c r="K233" i="5"/>
  <c r="J233" i="5"/>
  <c r="V232" i="5"/>
  <c r="V231" i="5"/>
  <c r="U231" i="5"/>
  <c r="K231" i="5"/>
  <c r="J231" i="5"/>
  <c r="V230" i="5"/>
  <c r="U230" i="5"/>
  <c r="J230" i="5"/>
  <c r="V229" i="5"/>
  <c r="V228" i="5"/>
  <c r="V227" i="5"/>
  <c r="U227" i="5"/>
  <c r="J227" i="5"/>
  <c r="V226" i="5"/>
  <c r="U226" i="5"/>
  <c r="K226" i="5"/>
  <c r="J226" i="5"/>
  <c r="V225" i="5"/>
  <c r="V224" i="5"/>
  <c r="U224" i="5"/>
  <c r="K224" i="5"/>
  <c r="J224" i="5"/>
  <c r="V223" i="5"/>
  <c r="U223" i="5"/>
  <c r="K223" i="5"/>
  <c r="J223" i="5"/>
  <c r="V222" i="5"/>
  <c r="V221" i="5"/>
  <c r="V220" i="5"/>
  <c r="U220" i="5"/>
  <c r="K220" i="5"/>
  <c r="J220" i="5"/>
  <c r="V219" i="5"/>
  <c r="U219" i="5"/>
  <c r="K219" i="5"/>
  <c r="J219" i="5"/>
  <c r="V218" i="5"/>
  <c r="U218" i="5"/>
  <c r="K218" i="5"/>
  <c r="J218" i="5"/>
  <c r="V217" i="5"/>
  <c r="U217" i="5"/>
  <c r="K217" i="5"/>
  <c r="J217" i="5"/>
  <c r="V216" i="5"/>
  <c r="U216" i="5"/>
  <c r="K216" i="5"/>
  <c r="J216" i="5"/>
  <c r="V215" i="5"/>
  <c r="U215" i="5"/>
  <c r="K215" i="5"/>
  <c r="J215" i="5"/>
  <c r="V214" i="5"/>
  <c r="U214" i="5"/>
  <c r="K214" i="5"/>
  <c r="J214" i="5"/>
  <c r="V213" i="5"/>
  <c r="U213" i="5"/>
  <c r="K213" i="5"/>
  <c r="J213" i="5"/>
  <c r="V212" i="5"/>
  <c r="U212" i="5"/>
  <c r="K212" i="5"/>
  <c r="J212" i="5"/>
  <c r="V211" i="5"/>
  <c r="U211" i="5"/>
  <c r="K211" i="5"/>
  <c r="J211" i="5"/>
  <c r="V210" i="5"/>
  <c r="U210" i="5"/>
  <c r="K210" i="5"/>
  <c r="J210" i="5"/>
  <c r="V209" i="5"/>
  <c r="U209" i="5"/>
  <c r="K209" i="5"/>
  <c r="J209" i="5"/>
  <c r="V208" i="5"/>
  <c r="U208" i="5"/>
  <c r="K208" i="5"/>
  <c r="J208" i="5"/>
  <c r="V207" i="5"/>
  <c r="U207" i="5"/>
  <c r="K207" i="5"/>
  <c r="J207" i="5"/>
  <c r="V206" i="5"/>
  <c r="U206" i="5"/>
  <c r="K206" i="5"/>
  <c r="J206" i="5"/>
  <c r="V205" i="5"/>
  <c r="J205" i="5"/>
  <c r="V204" i="5"/>
  <c r="U204" i="5"/>
  <c r="J204" i="5"/>
  <c r="V203" i="5"/>
  <c r="U203" i="5"/>
  <c r="K203" i="5"/>
  <c r="J203" i="5"/>
  <c r="V202" i="5"/>
  <c r="U202" i="5"/>
  <c r="K202" i="5"/>
  <c r="J202" i="5"/>
  <c r="V201" i="5"/>
  <c r="U201" i="5"/>
  <c r="K201" i="5"/>
  <c r="J201" i="5"/>
  <c r="V200" i="5"/>
  <c r="U200" i="5"/>
  <c r="K200" i="5"/>
  <c r="J200" i="5"/>
  <c r="V199" i="5"/>
  <c r="U199" i="5"/>
  <c r="K199" i="5"/>
  <c r="J199" i="5"/>
  <c r="V198" i="5"/>
  <c r="U198" i="5"/>
  <c r="K198" i="5"/>
  <c r="J198" i="5"/>
  <c r="V197" i="5"/>
  <c r="U197" i="5"/>
  <c r="K197" i="5"/>
  <c r="J197" i="5"/>
  <c r="V196" i="5"/>
  <c r="U196" i="5"/>
  <c r="K196" i="5"/>
  <c r="J196" i="5"/>
  <c r="V195" i="5"/>
  <c r="U195" i="5"/>
  <c r="K195" i="5"/>
  <c r="J195" i="5"/>
  <c r="V194" i="5"/>
  <c r="V193" i="5"/>
  <c r="U193" i="5"/>
  <c r="K193" i="5"/>
  <c r="J193" i="5"/>
  <c r="V192" i="5"/>
  <c r="U192" i="5"/>
  <c r="K192" i="5"/>
  <c r="J192" i="5"/>
  <c r="V191" i="5"/>
  <c r="U191" i="5"/>
  <c r="J191" i="5"/>
  <c r="V190" i="5"/>
  <c r="V189" i="5"/>
  <c r="U189" i="5"/>
  <c r="K189" i="5"/>
  <c r="J189" i="5"/>
  <c r="V188" i="5"/>
  <c r="U188" i="5"/>
  <c r="K188" i="5"/>
  <c r="J188" i="5"/>
  <c r="V187" i="5"/>
  <c r="U187" i="5"/>
  <c r="K187" i="5"/>
  <c r="J187" i="5"/>
  <c r="V186" i="5"/>
  <c r="U186" i="5"/>
  <c r="K186" i="5"/>
  <c r="J186" i="5"/>
  <c r="V185" i="5"/>
  <c r="U185" i="5"/>
  <c r="K185" i="5"/>
  <c r="J185" i="5"/>
  <c r="V184" i="5"/>
  <c r="U184" i="5"/>
  <c r="K184" i="5"/>
  <c r="J184" i="5"/>
  <c r="V183" i="5"/>
  <c r="V182" i="5"/>
  <c r="U182" i="5"/>
  <c r="K182" i="5"/>
  <c r="J182" i="5"/>
  <c r="J181" i="5"/>
  <c r="V180" i="5"/>
  <c r="U180" i="5"/>
  <c r="K180" i="5"/>
  <c r="J180" i="5"/>
  <c r="V179" i="5"/>
  <c r="J178" i="5"/>
  <c r="V177" i="5"/>
  <c r="U177" i="5"/>
  <c r="K177" i="5"/>
  <c r="J177" i="5"/>
  <c r="V176" i="5"/>
  <c r="U176" i="5"/>
  <c r="K176" i="5"/>
  <c r="J176" i="5"/>
  <c r="V175" i="5"/>
  <c r="U175" i="5"/>
  <c r="K175" i="5"/>
  <c r="J175" i="5"/>
  <c r="V174" i="5"/>
  <c r="J174" i="5"/>
  <c r="V173" i="5"/>
  <c r="U173" i="5"/>
  <c r="K173" i="5"/>
  <c r="J173" i="5"/>
  <c r="V172" i="5"/>
  <c r="U172" i="5"/>
  <c r="K172" i="5"/>
  <c r="J172" i="5"/>
  <c r="V171" i="5"/>
  <c r="U171" i="5"/>
  <c r="K171" i="5"/>
  <c r="J171" i="5"/>
  <c r="V170" i="5"/>
  <c r="U170" i="5"/>
  <c r="K170" i="5"/>
  <c r="J170" i="5"/>
  <c r="V169" i="5"/>
  <c r="V168" i="5"/>
  <c r="U168" i="5"/>
  <c r="K168" i="5"/>
  <c r="J168" i="5"/>
  <c r="V167" i="5"/>
  <c r="W167" i="5" s="1"/>
  <c r="U167" i="5"/>
  <c r="K167" i="5"/>
  <c r="J167" i="5"/>
  <c r="V166" i="5"/>
  <c r="U166" i="5"/>
  <c r="K166" i="5"/>
  <c r="J166" i="5"/>
  <c r="V165" i="5"/>
  <c r="U165" i="5"/>
  <c r="K165" i="5"/>
  <c r="J165" i="5"/>
  <c r="V164" i="5"/>
  <c r="U164" i="5"/>
  <c r="K164" i="5"/>
  <c r="V163" i="5"/>
  <c r="U163" i="5"/>
  <c r="K163" i="5"/>
  <c r="J163" i="5"/>
  <c r="V162" i="5"/>
  <c r="U162" i="5"/>
  <c r="K162" i="5"/>
  <c r="J162" i="5"/>
  <c r="V161" i="5"/>
  <c r="U161" i="5"/>
  <c r="K161" i="5"/>
  <c r="J161" i="5"/>
  <c r="V160" i="5"/>
  <c r="U160" i="5"/>
  <c r="K160" i="5"/>
  <c r="J160" i="5"/>
  <c r="V159" i="5"/>
  <c r="U159" i="5"/>
  <c r="K159" i="5"/>
  <c r="J159" i="5"/>
  <c r="V158" i="5"/>
  <c r="U158" i="5"/>
  <c r="K158" i="5"/>
  <c r="J158" i="5"/>
  <c r="V157" i="5"/>
  <c r="U157" i="5"/>
  <c r="K157" i="5"/>
  <c r="J157" i="5"/>
  <c r="V156" i="5"/>
  <c r="U156" i="5"/>
  <c r="K156" i="5"/>
  <c r="V155" i="5"/>
  <c r="U155" i="5"/>
  <c r="K155" i="5"/>
  <c r="J155" i="5"/>
  <c r="V154" i="5"/>
  <c r="U154" i="5"/>
  <c r="K154" i="5"/>
  <c r="V153" i="5"/>
  <c r="U153" i="5"/>
  <c r="K153" i="5"/>
  <c r="V152" i="5"/>
  <c r="U152" i="5"/>
  <c r="K152" i="5"/>
  <c r="V151" i="5"/>
  <c r="U151" i="5"/>
  <c r="V150" i="5"/>
  <c r="U150" i="5"/>
  <c r="K150" i="5"/>
  <c r="J150" i="5"/>
  <c r="V149" i="5"/>
  <c r="U149" i="5"/>
  <c r="K149" i="5"/>
  <c r="J149" i="5"/>
  <c r="V148" i="5"/>
  <c r="U148" i="5"/>
  <c r="K148" i="5"/>
  <c r="J148" i="5"/>
  <c r="V147" i="5"/>
  <c r="U147" i="5"/>
  <c r="K147" i="5"/>
  <c r="J147" i="5"/>
  <c r="V146" i="5"/>
  <c r="U146" i="5"/>
  <c r="K146" i="5"/>
  <c r="V145" i="5"/>
  <c r="U145" i="5"/>
  <c r="K145" i="5"/>
  <c r="V144" i="5"/>
  <c r="U144" i="5"/>
  <c r="K144" i="5"/>
  <c r="J144" i="5"/>
  <c r="V143" i="5"/>
  <c r="U143" i="5"/>
  <c r="K143" i="5"/>
  <c r="J143" i="5"/>
  <c r="V142" i="5"/>
  <c r="U142" i="5"/>
  <c r="K142" i="5"/>
  <c r="J142" i="5"/>
  <c r="V141" i="5"/>
  <c r="U141" i="5"/>
  <c r="K141" i="5"/>
  <c r="J141" i="5"/>
  <c r="V140" i="5"/>
  <c r="U140" i="5"/>
  <c r="K140" i="5"/>
  <c r="J140" i="5"/>
  <c r="V139" i="5"/>
  <c r="U139" i="5"/>
  <c r="K139" i="5"/>
  <c r="J139" i="5"/>
  <c r="V138" i="5"/>
  <c r="U138" i="5"/>
  <c r="K138" i="5"/>
  <c r="V137" i="5"/>
  <c r="U137" i="5"/>
  <c r="K137" i="5"/>
  <c r="J137" i="5"/>
  <c r="V136" i="5"/>
  <c r="U136" i="5"/>
  <c r="K136" i="5"/>
  <c r="J136" i="5"/>
  <c r="V135" i="5"/>
  <c r="U135" i="5"/>
  <c r="K135" i="5"/>
  <c r="J135" i="5"/>
  <c r="V134" i="5"/>
  <c r="U134" i="5"/>
  <c r="K134" i="5"/>
  <c r="J134" i="5"/>
  <c r="J133" i="5"/>
  <c r="V132" i="5"/>
  <c r="U132" i="5"/>
  <c r="K132" i="5"/>
  <c r="V131" i="5"/>
  <c r="V130" i="5"/>
  <c r="K130" i="5"/>
  <c r="V129" i="5"/>
  <c r="U129" i="5"/>
  <c r="K129" i="5"/>
  <c r="J129" i="5"/>
  <c r="V128" i="5"/>
  <c r="U128" i="5"/>
  <c r="K128" i="5"/>
  <c r="J128" i="5"/>
  <c r="V125" i="5"/>
  <c r="U125" i="5"/>
  <c r="K125" i="5"/>
  <c r="J125" i="5"/>
  <c r="V123" i="5"/>
  <c r="U123" i="5"/>
  <c r="V122" i="5"/>
  <c r="U122" i="5"/>
  <c r="J122" i="5"/>
  <c r="V121" i="5"/>
  <c r="U121" i="5"/>
  <c r="J121" i="5"/>
  <c r="V120" i="5"/>
  <c r="U120" i="5"/>
  <c r="J120" i="5"/>
  <c r="J119" i="5"/>
  <c r="J118" i="5"/>
  <c r="V117" i="5"/>
  <c r="V116" i="5"/>
  <c r="U116" i="5"/>
  <c r="K116" i="5"/>
  <c r="J116" i="5"/>
  <c r="V115" i="5"/>
  <c r="U115" i="5"/>
  <c r="K115" i="5"/>
  <c r="J115" i="5"/>
  <c r="V114" i="5"/>
  <c r="U114" i="5"/>
  <c r="K114" i="5"/>
  <c r="J114" i="5"/>
  <c r="V113" i="5"/>
  <c r="U113" i="5"/>
  <c r="K113" i="5"/>
  <c r="J113" i="5"/>
  <c r="V112" i="5"/>
  <c r="U112" i="5"/>
  <c r="K112" i="5"/>
  <c r="J112" i="5"/>
  <c r="V111" i="5"/>
  <c r="U111" i="5"/>
  <c r="K111" i="5"/>
  <c r="J111" i="5"/>
  <c r="V110" i="5"/>
  <c r="U110" i="5"/>
  <c r="K110" i="5"/>
  <c r="V109" i="5"/>
  <c r="J109" i="5"/>
  <c r="V108" i="5"/>
  <c r="J108" i="5"/>
  <c r="V107" i="5"/>
  <c r="J107" i="5"/>
  <c r="V106" i="5"/>
  <c r="J106" i="5"/>
  <c r="V105" i="5"/>
  <c r="V104" i="5"/>
  <c r="V103" i="5"/>
  <c r="V102" i="5"/>
  <c r="V101" i="5"/>
  <c r="V100" i="5"/>
  <c r="J98" i="5"/>
  <c r="V97" i="5"/>
  <c r="U97" i="5"/>
  <c r="K97" i="5"/>
  <c r="V95" i="5"/>
  <c r="V94" i="5"/>
  <c r="U94" i="5"/>
  <c r="K94" i="5"/>
  <c r="J94" i="5"/>
  <c r="V93" i="5"/>
  <c r="U93" i="5"/>
  <c r="K93" i="5"/>
  <c r="V92" i="5"/>
  <c r="U92" i="5"/>
  <c r="J92" i="5"/>
  <c r="J91" i="5"/>
  <c r="W90" i="5"/>
  <c r="V90" i="5"/>
  <c r="K90" i="5"/>
  <c r="V89" i="5"/>
  <c r="U89" i="5"/>
  <c r="V88" i="5"/>
  <c r="U88" i="5"/>
  <c r="K88" i="5"/>
  <c r="J88" i="5"/>
  <c r="V87" i="5"/>
  <c r="U87" i="5"/>
  <c r="K87" i="5"/>
  <c r="J87" i="5"/>
  <c r="V86" i="5"/>
  <c r="U86" i="5"/>
  <c r="K86" i="5"/>
  <c r="J86" i="5"/>
  <c r="V85" i="5"/>
  <c r="U85" i="5"/>
  <c r="V84" i="5"/>
  <c r="U84" i="5"/>
  <c r="K84" i="5"/>
  <c r="J84" i="5"/>
  <c r="V83" i="5"/>
  <c r="U83" i="5"/>
  <c r="J83" i="5"/>
  <c r="V82" i="5"/>
  <c r="J82" i="5"/>
  <c r="J81" i="5"/>
  <c r="V80" i="5"/>
  <c r="U80" i="5"/>
  <c r="J80" i="5"/>
  <c r="J79" i="5"/>
  <c r="V78" i="5"/>
  <c r="V77" i="5"/>
  <c r="U77" i="5"/>
  <c r="K77" i="5"/>
  <c r="J77" i="5"/>
  <c r="V76" i="5"/>
  <c r="U76" i="5"/>
  <c r="K76" i="5"/>
  <c r="J76" i="5"/>
  <c r="V75" i="5"/>
  <c r="U75" i="5"/>
  <c r="K75" i="5"/>
  <c r="J75" i="5"/>
  <c r="V74" i="5"/>
  <c r="U74" i="5"/>
  <c r="K74" i="5"/>
  <c r="J74" i="5"/>
  <c r="V73" i="5"/>
  <c r="U73" i="5"/>
  <c r="K73" i="5"/>
  <c r="J73" i="5"/>
  <c r="V72" i="5"/>
  <c r="U72" i="5"/>
  <c r="K72" i="5"/>
  <c r="V71" i="5"/>
  <c r="U71" i="5"/>
  <c r="K71" i="5"/>
  <c r="J71" i="5"/>
  <c r="V70" i="5"/>
  <c r="U70" i="5"/>
  <c r="K70" i="5"/>
  <c r="J70" i="5"/>
  <c r="J69" i="5"/>
  <c r="V68" i="5"/>
  <c r="U68" i="5"/>
  <c r="K68" i="5"/>
  <c r="J68" i="5"/>
  <c r="V67" i="5"/>
  <c r="U67" i="5"/>
  <c r="K67" i="5"/>
  <c r="J67" i="5"/>
  <c r="V66" i="5"/>
  <c r="U66" i="5"/>
  <c r="K66" i="5"/>
  <c r="J66" i="5"/>
  <c r="V65" i="5"/>
  <c r="U65" i="5"/>
  <c r="J65" i="5"/>
  <c r="V64" i="5"/>
  <c r="U64" i="5"/>
  <c r="J64" i="5"/>
  <c r="V63" i="5"/>
  <c r="U63" i="5"/>
  <c r="K63" i="5"/>
  <c r="J63" i="5"/>
  <c r="V62" i="5"/>
  <c r="U62" i="5"/>
  <c r="K62" i="5"/>
  <c r="J62" i="5"/>
  <c r="H62" i="5"/>
  <c r="V61" i="5"/>
  <c r="V60" i="5"/>
  <c r="U60" i="5"/>
  <c r="K60" i="5"/>
  <c r="J60" i="5"/>
  <c r="V59" i="5"/>
  <c r="U59" i="5"/>
  <c r="K59" i="5"/>
  <c r="J59" i="5"/>
  <c r="V58" i="5"/>
  <c r="U58" i="5"/>
  <c r="K58" i="5"/>
  <c r="J58" i="5"/>
  <c r="V57" i="5"/>
  <c r="U57" i="5"/>
  <c r="J57" i="5"/>
  <c r="V56" i="5"/>
  <c r="U56" i="5"/>
  <c r="K56" i="5"/>
  <c r="J56" i="5"/>
  <c r="V55" i="5"/>
  <c r="U55" i="5"/>
  <c r="K55" i="5"/>
  <c r="J55" i="5"/>
  <c r="V54" i="5"/>
  <c r="J54" i="5"/>
  <c r="V53" i="5"/>
  <c r="U53" i="5"/>
  <c r="K53" i="5"/>
  <c r="J53" i="5"/>
  <c r="J52" i="5"/>
  <c r="V51" i="5"/>
  <c r="U51" i="5"/>
  <c r="K51" i="5"/>
  <c r="J51" i="5"/>
  <c r="V50" i="5"/>
  <c r="U50" i="5"/>
  <c r="K50" i="5"/>
  <c r="J50" i="5"/>
  <c r="V49" i="5"/>
  <c r="U49" i="5"/>
  <c r="J49" i="5"/>
  <c r="V48" i="5"/>
  <c r="V47" i="5"/>
  <c r="U47" i="5"/>
  <c r="K47" i="5"/>
  <c r="J47" i="5"/>
  <c r="V46" i="5"/>
  <c r="U46" i="5"/>
  <c r="K46" i="5"/>
  <c r="J46" i="5"/>
  <c r="V45" i="5"/>
  <c r="U45" i="5"/>
  <c r="K45" i="5"/>
  <c r="V44" i="5"/>
  <c r="U44" i="5"/>
  <c r="K44" i="5"/>
  <c r="V43" i="5"/>
  <c r="U43" i="5"/>
  <c r="K43" i="5"/>
  <c r="J43" i="5"/>
  <c r="V42" i="5"/>
  <c r="U42" i="5"/>
  <c r="J42" i="5"/>
  <c r="V41" i="5"/>
  <c r="V40" i="5"/>
  <c r="U40" i="5"/>
  <c r="K40" i="5"/>
  <c r="J40" i="5"/>
  <c r="V39" i="5"/>
  <c r="U39" i="5"/>
  <c r="K39" i="5"/>
  <c r="J39" i="5"/>
  <c r="V38" i="5"/>
  <c r="U38" i="5"/>
  <c r="K38" i="5"/>
  <c r="J38" i="5"/>
  <c r="V37" i="5"/>
  <c r="U37" i="5"/>
  <c r="K37" i="5"/>
  <c r="V36" i="5"/>
  <c r="U36" i="5"/>
  <c r="K36" i="5"/>
  <c r="V35" i="5"/>
  <c r="U35" i="5"/>
  <c r="K35" i="5"/>
  <c r="J35" i="5"/>
  <c r="V34" i="5"/>
  <c r="U34" i="5"/>
  <c r="K34" i="5"/>
  <c r="J34" i="5"/>
  <c r="V33" i="5"/>
  <c r="U33" i="5"/>
  <c r="K33" i="5"/>
  <c r="J33" i="5"/>
  <c r="U32" i="5"/>
  <c r="J32" i="5"/>
  <c r="V31" i="5"/>
  <c r="U31" i="5"/>
  <c r="K31" i="5"/>
  <c r="J31" i="5"/>
  <c r="V30" i="5"/>
  <c r="U30" i="5"/>
  <c r="K30" i="5"/>
  <c r="J30" i="5"/>
  <c r="V29" i="5"/>
  <c r="V28" i="5"/>
  <c r="U28" i="5"/>
  <c r="K28" i="5"/>
  <c r="J28" i="5"/>
  <c r="V27" i="5"/>
  <c r="U27" i="5"/>
  <c r="K27" i="5"/>
  <c r="J27" i="5"/>
  <c r="V26" i="5"/>
  <c r="U26" i="5"/>
  <c r="K26" i="5"/>
  <c r="J26" i="5"/>
  <c r="V25" i="5"/>
  <c r="V24" i="5"/>
  <c r="V23" i="5"/>
  <c r="U23" i="5"/>
  <c r="J23" i="5"/>
  <c r="V22" i="5"/>
  <c r="U22" i="5"/>
  <c r="K22" i="5"/>
  <c r="J22" i="5"/>
  <c r="V21" i="5"/>
  <c r="V20" i="5"/>
  <c r="U20" i="5"/>
  <c r="J20" i="5"/>
  <c r="V19" i="5"/>
  <c r="U19" i="5"/>
  <c r="J19" i="5"/>
  <c r="J18" i="5"/>
  <c r="V17" i="5"/>
  <c r="U17" i="5"/>
  <c r="J17" i="5"/>
  <c r="V16" i="5"/>
  <c r="U16" i="5"/>
  <c r="J16" i="5"/>
  <c r="V15" i="5"/>
  <c r="V4" i="5"/>
  <c r="V5" i="5"/>
  <c r="W141" i="5" s="1"/>
  <c r="V7" i="5"/>
  <c r="V8" i="5"/>
  <c r="V9" i="5"/>
  <c r="V10" i="5"/>
  <c r="V11" i="5"/>
  <c r="V12" i="5"/>
  <c r="V13" i="5"/>
  <c r="U15" i="5"/>
  <c r="J15" i="5"/>
  <c r="J14" i="5"/>
  <c r="U13" i="5"/>
  <c r="J13" i="5"/>
  <c r="U12" i="5"/>
  <c r="J12" i="5"/>
  <c r="U11" i="5"/>
  <c r="J11" i="5"/>
  <c r="U10" i="5"/>
  <c r="J10" i="5"/>
  <c r="U9" i="5"/>
  <c r="J9" i="5"/>
  <c r="U8" i="5"/>
  <c r="J8" i="5"/>
  <c r="J7" i="5"/>
  <c r="J6" i="5"/>
  <c r="U5" i="5"/>
  <c r="J5" i="5"/>
  <c r="U4" i="5"/>
  <c r="J4" i="5"/>
  <c r="V3" i="5"/>
  <c r="U3" i="5"/>
  <c r="V2" i="5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V199" i="3"/>
  <c r="V198" i="3"/>
  <c r="V197" i="3"/>
  <c r="V196" i="3"/>
  <c r="V195" i="3"/>
  <c r="V194" i="3"/>
  <c r="W194" i="3" s="1"/>
  <c r="V193" i="3"/>
  <c r="W193" i="3" s="1"/>
  <c r="V192" i="3"/>
  <c r="W192" i="3" s="1"/>
  <c r="V191" i="3"/>
  <c r="J191" i="3"/>
  <c r="V190" i="3"/>
  <c r="J190" i="3"/>
  <c r="V189" i="3"/>
  <c r="W189" i="3" s="1"/>
  <c r="J189" i="3"/>
  <c r="V188" i="3"/>
  <c r="J188" i="3"/>
  <c r="V187" i="3"/>
  <c r="W187" i="3" s="1"/>
  <c r="J187" i="3"/>
  <c r="V186" i="3"/>
  <c r="W186" i="3" s="1"/>
  <c r="J186" i="3"/>
  <c r="V185" i="3"/>
  <c r="J185" i="3"/>
  <c r="V184" i="3"/>
  <c r="J184" i="3"/>
  <c r="V183" i="3"/>
  <c r="W183" i="3" s="1"/>
  <c r="J183" i="3"/>
  <c r="V182" i="3"/>
  <c r="J182" i="3"/>
  <c r="V181" i="3"/>
  <c r="W181" i="3" s="1"/>
  <c r="J181" i="3"/>
  <c r="V180" i="3"/>
  <c r="V179" i="3"/>
  <c r="V178" i="3"/>
  <c r="W178" i="3" s="1"/>
  <c r="V177" i="3"/>
  <c r="V176" i="3"/>
  <c r="W176" i="3" s="1"/>
  <c r="V175" i="3"/>
  <c r="W175" i="3" s="1"/>
  <c r="V174" i="3"/>
  <c r="W174" i="3" s="1"/>
  <c r="V173" i="3"/>
  <c r="V172" i="3"/>
  <c r="V171" i="3"/>
  <c r="V170" i="3"/>
  <c r="W170" i="3" s="1"/>
  <c r="V169" i="3"/>
  <c r="W169" i="3" s="1"/>
  <c r="V168" i="3"/>
  <c r="W168" i="3" s="1"/>
  <c r="V167" i="3"/>
  <c r="W167" i="3" s="1"/>
  <c r="V166" i="3"/>
  <c r="V165" i="3"/>
  <c r="V164" i="3"/>
  <c r="W164" i="3" s="1"/>
  <c r="V163" i="3"/>
  <c r="W163" i="3" s="1"/>
  <c r="J163" i="3"/>
  <c r="V162" i="3"/>
  <c r="J162" i="3"/>
  <c r="V161" i="3"/>
  <c r="W161" i="3" s="1"/>
  <c r="J161" i="3"/>
  <c r="V160" i="3"/>
  <c r="W160" i="3" s="1"/>
  <c r="J160" i="3"/>
  <c r="V159" i="3"/>
  <c r="W159" i="3" s="1"/>
  <c r="J159" i="3"/>
  <c r="V158" i="3"/>
  <c r="V157" i="3"/>
  <c r="V156" i="3"/>
  <c r="W156" i="3" s="1"/>
  <c r="V155" i="3"/>
  <c r="W155" i="3" s="1"/>
  <c r="V154" i="3"/>
  <c r="V153" i="3"/>
  <c r="V152" i="3"/>
  <c r="W152" i="3" s="1"/>
  <c r="V151" i="3"/>
  <c r="V150" i="3"/>
  <c r="W150" i="3" s="1"/>
  <c r="V149" i="3"/>
  <c r="V148" i="3"/>
  <c r="W148" i="3" s="1"/>
  <c r="V147" i="3"/>
  <c r="W147" i="3" s="1"/>
  <c r="V146" i="3"/>
  <c r="V145" i="3"/>
  <c r="W145" i="3" s="1"/>
  <c r="V144" i="3"/>
  <c r="W144" i="3" s="1"/>
  <c r="V143" i="3"/>
  <c r="W143" i="3" s="1"/>
  <c r="V142" i="3"/>
  <c r="J142" i="3"/>
  <c r="V141" i="3"/>
  <c r="W141" i="3" s="1"/>
  <c r="J141" i="3"/>
  <c r="V140" i="3"/>
  <c r="W140" i="3" s="1"/>
  <c r="J140" i="3"/>
  <c r="V139" i="3"/>
  <c r="J139" i="3"/>
  <c r="V138" i="3"/>
  <c r="W138" i="3" s="1"/>
  <c r="J138" i="3"/>
  <c r="V137" i="3"/>
  <c r="W137" i="3" s="1"/>
  <c r="J137" i="3"/>
  <c r="V136" i="3"/>
  <c r="W136" i="3" s="1"/>
  <c r="J136" i="3"/>
  <c r="V135" i="3"/>
  <c r="W135" i="3" s="1"/>
  <c r="J135" i="3"/>
  <c r="V134" i="3"/>
  <c r="W134" i="3" s="1"/>
  <c r="J134" i="3"/>
  <c r="V133" i="3"/>
  <c r="J133" i="3"/>
  <c r="V132" i="3"/>
  <c r="V131" i="3"/>
  <c r="V130" i="3"/>
  <c r="W130" i="3" s="1"/>
  <c r="V129" i="3"/>
  <c r="W129" i="3" s="1"/>
  <c r="V128" i="3"/>
  <c r="V127" i="3"/>
  <c r="V126" i="3"/>
  <c r="W126" i="3" s="1"/>
  <c r="V125" i="3"/>
  <c r="V124" i="3"/>
  <c r="W124" i="3" s="1"/>
  <c r="J124" i="3"/>
  <c r="V123" i="3"/>
  <c r="J123" i="3"/>
  <c r="V122" i="3"/>
  <c r="J122" i="3"/>
  <c r="V121" i="3"/>
  <c r="W121" i="3" s="1"/>
  <c r="V120" i="3"/>
  <c r="V119" i="3"/>
  <c r="W119" i="3" s="1"/>
  <c r="V118" i="3"/>
  <c r="V117" i="3"/>
  <c r="V116" i="3"/>
  <c r="W116" i="3" s="1"/>
  <c r="V115" i="3"/>
  <c r="W115" i="3" s="1"/>
  <c r="V114" i="3"/>
  <c r="W114" i="3" s="1"/>
  <c r="V113" i="3"/>
  <c r="W113" i="3" s="1"/>
  <c r="V112" i="3"/>
  <c r="W112" i="3" s="1"/>
  <c r="V111" i="3"/>
  <c r="V110" i="3"/>
  <c r="W110" i="3" s="1"/>
  <c r="V109" i="3"/>
  <c r="W109" i="3" s="1"/>
  <c r="V108" i="3"/>
  <c r="W108" i="3" s="1"/>
  <c r="V107" i="3"/>
  <c r="V106" i="3"/>
  <c r="V105" i="3"/>
  <c r="V104" i="3"/>
  <c r="V103" i="3"/>
  <c r="W103" i="3" s="1"/>
  <c r="V102" i="3"/>
  <c r="W102" i="3" s="1"/>
  <c r="J102" i="3"/>
  <c r="V101" i="3"/>
  <c r="V100" i="3"/>
  <c r="V99" i="3"/>
  <c r="V98" i="3"/>
  <c r="W98" i="3" s="1"/>
  <c r="V97" i="3"/>
  <c r="W97" i="3" s="1"/>
  <c r="J97" i="3"/>
  <c r="V96" i="3"/>
  <c r="J96" i="3"/>
  <c r="V95" i="3"/>
  <c r="V94" i="3"/>
  <c r="W94" i="3" s="1"/>
  <c r="V93" i="3"/>
  <c r="V92" i="3"/>
  <c r="W92" i="3" s="1"/>
  <c r="J92" i="3"/>
  <c r="V91" i="3"/>
  <c r="W91" i="3" s="1"/>
  <c r="J91" i="3"/>
  <c r="V90" i="3"/>
  <c r="W90" i="3" s="1"/>
  <c r="J90" i="3"/>
  <c r="V89" i="3"/>
  <c r="J89" i="3"/>
  <c r="V88" i="3"/>
  <c r="W88" i="3" s="1"/>
  <c r="J88" i="3"/>
  <c r="V87" i="3"/>
  <c r="W87" i="3" s="1"/>
  <c r="V86" i="3"/>
  <c r="V85" i="3"/>
  <c r="V84" i="3"/>
  <c r="V83" i="3"/>
  <c r="W83" i="3" s="1"/>
  <c r="V82" i="3"/>
  <c r="W82" i="3" s="1"/>
  <c r="V81" i="3"/>
  <c r="W81" i="3" s="1"/>
  <c r="J81" i="3"/>
  <c r="V80" i="3"/>
  <c r="W80" i="3" s="1"/>
  <c r="J80" i="3"/>
  <c r="V79" i="3"/>
  <c r="W79" i="3" s="1"/>
  <c r="J79" i="3"/>
  <c r="V78" i="3"/>
  <c r="W78" i="3" s="1"/>
  <c r="J78" i="3"/>
  <c r="V77" i="3"/>
  <c r="J77" i="3"/>
  <c r="V76" i="3"/>
  <c r="V75" i="3"/>
  <c r="V74" i="3"/>
  <c r="W74" i="3" s="1"/>
  <c r="V73" i="3"/>
  <c r="W73" i="3" s="1"/>
  <c r="V72" i="3"/>
  <c r="W72" i="3" s="1"/>
  <c r="J72" i="3"/>
  <c r="V71" i="3"/>
  <c r="W71" i="3" s="1"/>
  <c r="V70" i="3"/>
  <c r="J70" i="3"/>
  <c r="V69" i="3"/>
  <c r="W69" i="3" s="1"/>
  <c r="J69" i="3"/>
  <c r="V68" i="3"/>
  <c r="W68" i="3" s="1"/>
  <c r="J68" i="3"/>
  <c r="V67" i="3"/>
  <c r="J67" i="3"/>
  <c r="V66" i="3"/>
  <c r="W66" i="3" s="1"/>
  <c r="J66" i="3"/>
  <c r="V65" i="3"/>
  <c r="J65" i="3"/>
  <c r="V64" i="3"/>
  <c r="W64" i="3" s="1"/>
  <c r="J64" i="3"/>
  <c r="V63" i="3"/>
  <c r="J63" i="3"/>
  <c r="V62" i="3"/>
  <c r="W62" i="3" s="1"/>
  <c r="J62" i="3"/>
  <c r="V61" i="3"/>
  <c r="J61" i="3"/>
  <c r="V60" i="3"/>
  <c r="W60" i="3" s="1"/>
  <c r="V59" i="3"/>
  <c r="V58" i="3"/>
  <c r="V57" i="3"/>
  <c r="W57" i="3" s="1"/>
  <c r="J57" i="3"/>
  <c r="V56" i="3"/>
  <c r="W56" i="3" s="1"/>
  <c r="J56" i="3"/>
  <c r="V55" i="3"/>
  <c r="J55" i="3"/>
  <c r="V54" i="3"/>
  <c r="W54" i="3" s="1"/>
  <c r="J54" i="3"/>
  <c r="V53" i="3"/>
  <c r="W53" i="3" s="1"/>
  <c r="J53" i="3"/>
  <c r="V52" i="3"/>
  <c r="J52" i="3"/>
  <c r="V51" i="3"/>
  <c r="W51" i="3" s="1"/>
  <c r="J51" i="3"/>
  <c r="V50" i="3"/>
  <c r="W50" i="3" s="1"/>
  <c r="J50" i="3"/>
  <c r="V49" i="3"/>
  <c r="W49" i="3" s="1"/>
  <c r="J49" i="3"/>
  <c r="V48" i="3"/>
  <c r="W48" i="3" s="1"/>
  <c r="J48" i="3"/>
  <c r="V47" i="3"/>
  <c r="W47" i="3" s="1"/>
  <c r="J47" i="3"/>
  <c r="V46" i="3"/>
  <c r="W46" i="3" s="1"/>
  <c r="V45" i="3"/>
  <c r="W45" i="3" s="1"/>
  <c r="V44" i="3"/>
  <c r="W44" i="3" s="1"/>
  <c r="V43" i="3"/>
  <c r="W43" i="3" s="1"/>
  <c r="V42" i="3"/>
  <c r="W42" i="3" s="1"/>
  <c r="V41" i="3"/>
  <c r="V40" i="3"/>
  <c r="V39" i="3"/>
  <c r="W39" i="3" s="1"/>
  <c r="J39" i="3"/>
  <c r="V38" i="3"/>
  <c r="W38" i="3" s="1"/>
  <c r="J38" i="3"/>
  <c r="V37" i="3"/>
  <c r="V36" i="3"/>
  <c r="J36" i="3"/>
  <c r="V35" i="3"/>
  <c r="W35" i="3" s="1"/>
  <c r="J35" i="3"/>
  <c r="V34" i="3"/>
  <c r="W34" i="3" s="1"/>
  <c r="V33" i="3"/>
  <c r="W33" i="3" s="1"/>
  <c r="V32" i="3"/>
  <c r="V31" i="3"/>
  <c r="V30" i="3"/>
  <c r="W30" i="3" s="1"/>
  <c r="V29" i="3"/>
  <c r="V28" i="3"/>
  <c r="W28" i="3" s="1"/>
  <c r="V27" i="3"/>
  <c r="W27" i="3" s="1"/>
  <c r="V26" i="3"/>
  <c r="W26" i="3" s="1"/>
  <c r="V25" i="3"/>
  <c r="V24" i="3"/>
  <c r="W24" i="3" s="1"/>
  <c r="V23" i="3"/>
  <c r="V22" i="3"/>
  <c r="W22" i="3" s="1"/>
  <c r="V21" i="3"/>
  <c r="V20" i="3"/>
  <c r="W20" i="3" s="1"/>
  <c r="J20" i="3"/>
  <c r="V19" i="3"/>
  <c r="W19" i="3" s="1"/>
  <c r="J19" i="3"/>
  <c r="V18" i="3"/>
  <c r="W18" i="3" s="1"/>
  <c r="J18" i="3"/>
  <c r="V17" i="3"/>
  <c r="W17" i="3" s="1"/>
  <c r="J17" i="3"/>
  <c r="V16" i="3"/>
  <c r="J16" i="3"/>
  <c r="V15" i="3"/>
  <c r="W15" i="3" s="1"/>
  <c r="J15" i="3"/>
  <c r="V14" i="3"/>
  <c r="J14" i="3"/>
  <c r="V13" i="3"/>
  <c r="W13" i="3" s="1"/>
  <c r="J13" i="3"/>
  <c r="V12" i="3"/>
  <c r="W12" i="3" s="1"/>
  <c r="J12" i="3"/>
  <c r="V11" i="3"/>
  <c r="W11" i="3" s="1"/>
  <c r="J11" i="3"/>
  <c r="V10" i="3"/>
  <c r="W10" i="3" s="1"/>
  <c r="V9" i="3"/>
  <c r="V8" i="3"/>
  <c r="W8" i="3" s="1"/>
  <c r="V7" i="3"/>
  <c r="W7" i="3" s="1"/>
  <c r="V6" i="3"/>
  <c r="V5" i="3"/>
  <c r="V4" i="3"/>
  <c r="W4" i="3" s="1"/>
  <c r="V3" i="3"/>
  <c r="W3" i="3" s="1"/>
  <c r="V2" i="3"/>
  <c r="W2" i="3" s="1"/>
  <c r="W149" i="3"/>
  <c r="W106" i="3"/>
  <c r="W197" i="3"/>
  <c r="W21" i="3"/>
  <c r="W55" i="3"/>
  <c r="W95" i="3"/>
  <c r="W195" i="3"/>
  <c r="W180" i="3"/>
  <c r="W172" i="3"/>
  <c r="W166" i="3"/>
  <c r="W139" i="3"/>
  <c r="W133" i="3"/>
  <c r="W96" i="3"/>
  <c r="W89" i="3"/>
  <c r="W77" i="3"/>
  <c r="W65" i="3"/>
  <c r="W59" i="3"/>
  <c r="W36" i="3"/>
  <c r="W6" i="3"/>
  <c r="W184" i="3"/>
  <c r="W85" i="3"/>
  <c r="W188" i="3"/>
  <c r="W70" i="3"/>
  <c r="W182" i="3"/>
  <c r="W132" i="3"/>
  <c r="W105" i="3"/>
  <c r="W61" i="3"/>
  <c r="W107" i="3"/>
  <c r="W84" i="3"/>
  <c r="W76" i="3"/>
  <c r="W14" i="3"/>
  <c r="W153" i="3"/>
  <c r="W117" i="3"/>
  <c r="W86" i="3"/>
  <c r="W25" i="3"/>
  <c r="W67" i="3"/>
  <c r="W111" i="3"/>
  <c r="W29" i="3"/>
  <c r="W37" i="3"/>
  <c r="W52" i="3"/>
  <c r="W93" i="3"/>
  <c r="W104" i="3"/>
  <c r="W120" i="3"/>
  <c r="W127" i="3"/>
  <c r="W157" i="3"/>
  <c r="W171" i="3"/>
  <c r="W179" i="3"/>
  <c r="W185" i="3"/>
  <c r="W191" i="3"/>
  <c r="W23" i="3"/>
  <c r="W58" i="3"/>
  <c r="W99" i="3"/>
  <c r="W118" i="3"/>
  <c r="W128" i="3"/>
  <c r="W151" i="3"/>
  <c r="W199" i="3"/>
  <c r="W31" i="3"/>
  <c r="W41" i="3"/>
  <c r="W100" i="3"/>
  <c r="W123" i="3"/>
  <c r="W165" i="3"/>
  <c r="W173" i="3"/>
  <c r="W177" i="3"/>
  <c r="W190" i="3"/>
  <c r="W196" i="3"/>
  <c r="W372" i="5"/>
  <c r="W5" i="3"/>
  <c r="W16" i="3"/>
  <c r="W63" i="3"/>
  <c r="W125" i="3"/>
  <c r="W146" i="3"/>
  <c r="W154" i="3"/>
  <c r="W32" i="3"/>
  <c r="W75" i="3"/>
  <c r="W122" i="3"/>
  <c r="W131" i="3"/>
  <c r="W162" i="3"/>
  <c r="W152" i="5"/>
  <c r="W9" i="3"/>
  <c r="W40" i="3"/>
  <c r="W101" i="3"/>
  <c r="W142" i="3"/>
  <c r="W158" i="3"/>
  <c r="W198" i="3"/>
  <c r="T314" i="5"/>
  <c r="U314" i="5" s="1"/>
  <c r="W359" i="5"/>
  <c r="W5" i="6"/>
  <c r="W308" i="6"/>
  <c r="W258" i="5"/>
  <c r="W406" i="5"/>
  <c r="W240" i="6"/>
  <c r="W281" i="5"/>
  <c r="W274" i="6"/>
  <c r="W266" i="6"/>
  <c r="W395" i="6"/>
  <c r="C4" i="21"/>
  <c r="C6" i="21"/>
  <c r="C8" i="21"/>
  <c r="C10" i="21"/>
  <c r="C12" i="21"/>
  <c r="D18" i="22"/>
  <c r="D20" i="22"/>
  <c r="D22" i="22"/>
  <c r="D24" i="22"/>
  <c r="D26" i="22"/>
  <c r="D28" i="22"/>
  <c r="D4" i="23"/>
  <c r="D6" i="23"/>
  <c r="D8" i="23"/>
  <c r="D10" i="23"/>
  <c r="D12" i="23"/>
  <c r="D14" i="23"/>
  <c r="D19" i="23"/>
  <c r="D21" i="23"/>
  <c r="D23" i="23"/>
  <c r="D25" i="23"/>
  <c r="D27" i="23"/>
  <c r="D29" i="23"/>
  <c r="B191" i="28"/>
  <c r="B183" i="28"/>
  <c r="B175" i="28"/>
  <c r="B167" i="28"/>
  <c r="B159" i="28"/>
  <c r="B151" i="28"/>
  <c r="B143" i="28"/>
  <c r="B135" i="28"/>
  <c r="B127" i="28"/>
  <c r="B119" i="28"/>
  <c r="B111" i="28"/>
  <c r="B103" i="28"/>
  <c r="B95" i="28"/>
  <c r="B87" i="28"/>
  <c r="B79" i="28"/>
  <c r="B71" i="28"/>
  <c r="B63" i="28"/>
  <c r="B55" i="28"/>
  <c r="B47" i="28"/>
  <c r="B39" i="28"/>
  <c r="B192" i="28"/>
  <c r="B184" i="28"/>
  <c r="B176" i="28"/>
  <c r="B168" i="28"/>
  <c r="B160" i="28"/>
  <c r="B152" i="28"/>
  <c r="B144" i="28"/>
  <c r="B136" i="28"/>
  <c r="B128" i="28"/>
  <c r="B120" i="28"/>
  <c r="B112" i="28"/>
  <c r="B104" i="28"/>
  <c r="B96" i="28"/>
  <c r="B88" i="28"/>
  <c r="B80" i="28"/>
  <c r="B193" i="28"/>
  <c r="B185" i="28"/>
  <c r="B177" i="28"/>
  <c r="B169" i="28"/>
  <c r="B161" i="28"/>
  <c r="B153" i="28"/>
  <c r="B145" i="28"/>
  <c r="B137" i="28"/>
  <c r="B129" i="28"/>
  <c r="B121" i="28"/>
  <c r="B113" i="28"/>
  <c r="B105" i="28"/>
  <c r="B97" i="28"/>
  <c r="B89" i="28"/>
  <c r="B81" i="28"/>
  <c r="B73" i="28"/>
  <c r="B65" i="28"/>
  <c r="B57" i="28"/>
  <c r="B49" i="28"/>
  <c r="B41" i="28"/>
  <c r="C195" i="28"/>
  <c r="C187" i="28"/>
  <c r="C179" i="28"/>
  <c r="C171" i="28"/>
  <c r="C163" i="28"/>
  <c r="C155" i="28"/>
  <c r="C147" i="28"/>
  <c r="C139" i="28"/>
  <c r="C131" i="28"/>
  <c r="C123" i="28"/>
  <c r="C115" i="28"/>
  <c r="C107" i="28"/>
  <c r="C99" i="28"/>
  <c r="C91" i="28"/>
  <c r="C83" i="28"/>
  <c r="C75" i="28"/>
  <c r="C67" i="28"/>
  <c r="C59" i="28"/>
  <c r="C51" i="28"/>
  <c r="C43" i="28"/>
  <c r="C35" i="28"/>
  <c r="C27" i="28"/>
  <c r="B48" i="28"/>
  <c r="C28" i="28"/>
  <c r="B20" i="28"/>
  <c r="B12" i="28"/>
  <c r="B4" i="28"/>
  <c r="C57" i="28"/>
  <c r="A32" i="28"/>
  <c r="C22" i="28"/>
  <c r="C14" i="28"/>
  <c r="C6" i="28"/>
  <c r="A67" i="28"/>
  <c r="B35" i="28"/>
  <c r="A25" i="28"/>
  <c r="A17" i="28"/>
  <c r="A9" i="28"/>
  <c r="A1" i="28"/>
  <c r="B44" i="28"/>
  <c r="B27" i="28"/>
  <c r="B19" i="28"/>
  <c r="B11" i="28"/>
  <c r="B3" i="28"/>
  <c r="A26" i="19"/>
  <c r="F3" i="19"/>
  <c r="D26" i="19"/>
  <c r="I3" i="19"/>
  <c r="C26" i="19"/>
  <c r="H3" i="19"/>
  <c r="L25" i="19"/>
  <c r="C3" i="19"/>
  <c r="A190" i="28"/>
  <c r="A182" i="28"/>
  <c r="A174" i="28"/>
  <c r="A166" i="28"/>
  <c r="A158" i="28"/>
  <c r="A150" i="28"/>
  <c r="A142" i="28"/>
  <c r="A134" i="28"/>
  <c r="A126" i="28"/>
  <c r="A118" i="28"/>
  <c r="A110" i="28"/>
  <c r="A102" i="28"/>
  <c r="A94" i="28"/>
  <c r="A86" i="28"/>
  <c r="A78" i="28"/>
  <c r="A70" i="28"/>
  <c r="A62" i="28"/>
  <c r="A54" i="28"/>
  <c r="A46" i="28"/>
  <c r="A38" i="28"/>
  <c r="A191" i="28"/>
  <c r="A183" i="28"/>
  <c r="A175" i="28"/>
  <c r="A167" i="28"/>
  <c r="A159" i="28"/>
  <c r="A151" i="28"/>
  <c r="A143" i="28"/>
  <c r="A135" i="28"/>
  <c r="A127" i="28"/>
  <c r="A119" i="28"/>
  <c r="A111" i="28"/>
  <c r="A103" i="28"/>
  <c r="A95" i="28"/>
  <c r="A87" i="28"/>
  <c r="A79" i="28"/>
  <c r="A192" i="28"/>
  <c r="A184" i="28"/>
  <c r="A176" i="28"/>
  <c r="A168" i="28"/>
  <c r="A160" i="28"/>
  <c r="A152" i="28"/>
  <c r="A144" i="28"/>
  <c r="A136" i="28"/>
  <c r="A128" i="28"/>
  <c r="A120" i="28"/>
  <c r="A112" i="28"/>
  <c r="A104" i="28"/>
  <c r="A96" i="28"/>
  <c r="A88" i="28"/>
  <c r="A80" i="28"/>
  <c r="A72" i="28"/>
  <c r="A64" i="28"/>
  <c r="A56" i="28"/>
  <c r="A48" i="28"/>
  <c r="A40" i="28"/>
  <c r="B194" i="28"/>
  <c r="B186" i="28"/>
  <c r="B178" i="28"/>
  <c r="B170" i="28"/>
  <c r="B162" i="28"/>
  <c r="B154" i="28"/>
  <c r="B146" i="28"/>
  <c r="B138" i="28"/>
  <c r="B130" i="28"/>
  <c r="B122" i="28"/>
  <c r="B114" i="28"/>
  <c r="B106" i="28"/>
  <c r="B98" i="28"/>
  <c r="B90" i="28"/>
  <c r="B82" i="28"/>
  <c r="B74" i="28"/>
  <c r="B66" i="28"/>
  <c r="B58" i="28"/>
  <c r="B50" i="28"/>
  <c r="B42" i="28"/>
  <c r="B34" i="28"/>
  <c r="A75" i="28"/>
  <c r="A43" i="28"/>
  <c r="A27" i="28"/>
  <c r="A19" i="28"/>
  <c r="A11" i="28"/>
  <c r="A3" i="28"/>
  <c r="B52" i="28"/>
  <c r="A30" i="28"/>
  <c r="B21" i="28"/>
  <c r="B13" i="28"/>
  <c r="B5" i="28"/>
  <c r="C61" i="28"/>
  <c r="B33" i="28"/>
  <c r="C23" i="28"/>
  <c r="C15" i="28"/>
  <c r="C7" i="28"/>
  <c r="A71" i="28"/>
  <c r="A39" i="28"/>
  <c r="A26" i="28"/>
  <c r="A18" i="28"/>
  <c r="A10" i="28"/>
  <c r="A2" i="28"/>
  <c r="K25" i="19"/>
  <c r="B3" i="19"/>
  <c r="N25" i="19"/>
  <c r="E3" i="19"/>
  <c r="M25" i="19"/>
  <c r="D3" i="19"/>
  <c r="H25" i="19"/>
  <c r="C196" i="28"/>
  <c r="C188" i="28"/>
  <c r="C180" i="28"/>
  <c r="C172" i="28"/>
  <c r="C164" i="28"/>
  <c r="C156" i="28"/>
  <c r="C148" i="28"/>
  <c r="C140" i="28"/>
  <c r="C132" i="28"/>
  <c r="C124" i="28"/>
  <c r="C116" i="28"/>
  <c r="C108" i="28"/>
  <c r="C100" i="28"/>
  <c r="C92" i="28"/>
  <c r="C84" i="28"/>
  <c r="C76" i="28"/>
  <c r="C68" i="28"/>
  <c r="C60" i="28"/>
  <c r="C52" i="28"/>
  <c r="C44" i="28"/>
  <c r="C36" i="28"/>
  <c r="C189" i="28"/>
  <c r="C181" i="28"/>
  <c r="C173" i="28"/>
  <c r="C165" i="28"/>
  <c r="C157" i="28"/>
  <c r="C149" i="28"/>
  <c r="C141" i="28"/>
  <c r="C133" i="28"/>
  <c r="C125" i="28"/>
  <c r="C117" i="28"/>
  <c r="C109" i="28"/>
  <c r="C101" i="28"/>
  <c r="C93" i="28"/>
  <c r="C85" i="28"/>
  <c r="C77" i="28"/>
  <c r="C190" i="28"/>
  <c r="C182" i="28"/>
  <c r="C174" i="28"/>
  <c r="C166" i="28"/>
  <c r="C158" i="28"/>
  <c r="C150" i="28"/>
  <c r="C142" i="28"/>
  <c r="C134" i="28"/>
  <c r="C126" i="28"/>
  <c r="C118" i="28"/>
  <c r="C110" i="28"/>
  <c r="C102" i="28"/>
  <c r="C94" i="28"/>
  <c r="C86" i="28"/>
  <c r="C78" i="28"/>
  <c r="C70" i="28"/>
  <c r="C62" i="28"/>
  <c r="C54" i="28"/>
  <c r="C46" i="28"/>
  <c r="C38" i="28"/>
  <c r="A193" i="28"/>
  <c r="A185" i="28"/>
  <c r="A177" i="28"/>
  <c r="A169" i="28"/>
  <c r="A161" i="28"/>
  <c r="A153" i="28"/>
  <c r="A145" i="28"/>
  <c r="A137" i="28"/>
  <c r="A129" i="28"/>
  <c r="A121" i="28"/>
  <c r="A113" i="28"/>
  <c r="A105" i="28"/>
  <c r="A97" i="28"/>
  <c r="A89" i="28"/>
  <c r="A81" i="28"/>
  <c r="A73" i="28"/>
  <c r="A65" i="28"/>
  <c r="A57" i="28"/>
  <c r="A49" i="28"/>
  <c r="A41" i="28"/>
  <c r="A33" i="28"/>
  <c r="C69" i="28"/>
  <c r="C37" i="28"/>
  <c r="C25" i="28"/>
  <c r="C17" i="28"/>
  <c r="C9" i="28"/>
  <c r="C1" i="28"/>
  <c r="A47" i="28"/>
  <c r="B28" i="28"/>
  <c r="A20" i="28"/>
  <c r="A12" i="28"/>
  <c r="A4" i="28"/>
  <c r="B56" i="28"/>
  <c r="B31" i="28"/>
  <c r="B22" i="28"/>
  <c r="B14" i="28"/>
  <c r="B6" i="28"/>
  <c r="C65" i="28"/>
  <c r="A35" i="28"/>
  <c r="C24" i="28"/>
  <c r="C16" i="28"/>
  <c r="C8" i="28"/>
  <c r="A73" i="19"/>
  <c r="G25" i="19"/>
  <c r="A3" i="14"/>
  <c r="J25" i="19"/>
  <c r="A3" i="19"/>
  <c r="I25" i="19"/>
  <c r="N26" i="19"/>
  <c r="D25" i="19"/>
  <c r="B195" i="28"/>
  <c r="B187" i="28"/>
  <c r="B179" i="28"/>
  <c r="B171" i="28"/>
  <c r="B163" i="28"/>
  <c r="B155" i="28"/>
  <c r="B147" i="28"/>
  <c r="B139" i="28"/>
  <c r="B131" i="28"/>
  <c r="B123" i="28"/>
  <c r="B115" i="28"/>
  <c r="B107" i="28"/>
  <c r="B99" i="28"/>
  <c r="B91" i="28"/>
  <c r="B83" i="28"/>
  <c r="B75" i="28"/>
  <c r="B67" i="28"/>
  <c r="B59" i="28"/>
  <c r="B51" i="28"/>
  <c r="B43" i="28"/>
  <c r="B196" i="28"/>
  <c r="B188" i="28"/>
  <c r="B180" i="28"/>
  <c r="B172" i="28"/>
  <c r="B164" i="28"/>
  <c r="B156" i="28"/>
  <c r="B148" i="28"/>
  <c r="B140" i="28"/>
  <c r="B132" i="28"/>
  <c r="B124" i="28"/>
  <c r="B116" i="28"/>
  <c r="B108" i="28"/>
  <c r="B100" i="28"/>
  <c r="B92" i="28"/>
  <c r="B84" i="28"/>
  <c r="B76" i="28"/>
  <c r="B189" i="28"/>
  <c r="B181" i="28"/>
  <c r="B173" i="28"/>
  <c r="B165" i="28"/>
  <c r="B157" i="28"/>
  <c r="B149" i="28"/>
  <c r="B141" i="28"/>
  <c r="B133" i="28"/>
  <c r="B125" i="28"/>
  <c r="B117" i="28"/>
  <c r="B109" i="28"/>
  <c r="B101" i="28"/>
  <c r="B93" i="28"/>
  <c r="B85" i="28"/>
  <c r="B77" i="28"/>
  <c r="B69" i="28"/>
  <c r="B61" i="28"/>
  <c r="B53" i="28"/>
  <c r="B45" i="28"/>
  <c r="B37" i="28"/>
  <c r="C191" i="28"/>
  <c r="C183" i="28"/>
  <c r="C175" i="28"/>
  <c r="C167" i="28"/>
  <c r="C159" i="28"/>
  <c r="C151" i="28"/>
  <c r="C143" i="28"/>
  <c r="C135" i="28"/>
  <c r="C127" i="28"/>
  <c r="C119" i="28"/>
  <c r="C111" i="28"/>
  <c r="C103" i="28"/>
  <c r="C95" i="28"/>
  <c r="C87" i="28"/>
  <c r="C79" i="28"/>
  <c r="C71" i="28"/>
  <c r="C63" i="28"/>
  <c r="C55" i="28"/>
  <c r="C47" i="28"/>
  <c r="C39" i="28"/>
  <c r="C31" i="28"/>
  <c r="B64" i="28"/>
  <c r="A34" i="28"/>
  <c r="B24" i="28"/>
  <c r="B16" i="28"/>
  <c r="B8" i="28"/>
  <c r="C73" i="28"/>
  <c r="C41" i="28"/>
  <c r="C26" i="28"/>
  <c r="C18" i="28"/>
  <c r="C10" i="28"/>
  <c r="C2" i="28"/>
  <c r="A51" i="28"/>
  <c r="C29" i="28"/>
  <c r="A21" i="28"/>
  <c r="A13" i="28"/>
  <c r="A5" i="28"/>
  <c r="B60" i="28"/>
  <c r="C32" i="28"/>
  <c r="B23" i="28"/>
  <c r="B15" i="28"/>
  <c r="B7" i="28"/>
  <c r="M26" i="19"/>
  <c r="C25" i="19"/>
  <c r="A62" i="19"/>
  <c r="F25" i="19"/>
  <c r="A51" i="19"/>
  <c r="E25" i="19"/>
  <c r="J26" i="19"/>
  <c r="A14" i="19"/>
  <c r="A194" i="28"/>
  <c r="A186" i="28"/>
  <c r="A178" i="28"/>
  <c r="A170" i="28"/>
  <c r="A162" i="28"/>
  <c r="A154" i="28"/>
  <c r="A146" i="28"/>
  <c r="A138" i="28"/>
  <c r="A130" i="28"/>
  <c r="A122" i="28"/>
  <c r="A114" i="28"/>
  <c r="A106" i="28"/>
  <c r="A98" i="28"/>
  <c r="A90" i="28"/>
  <c r="A82" i="28"/>
  <c r="A74" i="28"/>
  <c r="A66" i="28"/>
  <c r="A58" i="28"/>
  <c r="A50" i="28"/>
  <c r="A42" i="28"/>
  <c r="A195" i="28"/>
  <c r="A187" i="28"/>
  <c r="A179" i="28"/>
  <c r="A171" i="28"/>
  <c r="A163" i="28"/>
  <c r="A155" i="28"/>
  <c r="A147" i="28"/>
  <c r="A139" i="28"/>
  <c r="A131" i="28"/>
  <c r="A123" i="28"/>
  <c r="A115" i="28"/>
  <c r="A107" i="28"/>
  <c r="A99" i="28"/>
  <c r="A91" i="28"/>
  <c r="A83" i="28"/>
  <c r="A196" i="28"/>
  <c r="A188" i="28"/>
  <c r="A180" i="28"/>
  <c r="A172" i="28"/>
  <c r="A164" i="28"/>
  <c r="A156" i="28"/>
  <c r="A148" i="28"/>
  <c r="A140" i="28"/>
  <c r="A132" i="28"/>
  <c r="A124" i="28"/>
  <c r="A116" i="28"/>
  <c r="A108" i="28"/>
  <c r="A100" i="28"/>
  <c r="A92" i="28"/>
  <c r="A84" i="28"/>
  <c r="A76" i="28"/>
  <c r="A68" i="28"/>
  <c r="A60" i="28"/>
  <c r="A52" i="28"/>
  <c r="A44" i="28"/>
  <c r="A36" i="28"/>
  <c r="B190" i="28"/>
  <c r="B182" i="28"/>
  <c r="B174" i="28"/>
  <c r="B166" i="28"/>
  <c r="B158" i="28"/>
  <c r="B150" i="28"/>
  <c r="B142" i="28"/>
  <c r="B134" i="28"/>
  <c r="B126" i="28"/>
  <c r="B118" i="28"/>
  <c r="B110" i="28"/>
  <c r="B102" i="28"/>
  <c r="B94" i="28"/>
  <c r="B86" i="28"/>
  <c r="B78" i="28"/>
  <c r="B70" i="28"/>
  <c r="B62" i="28"/>
  <c r="B54" i="28"/>
  <c r="B46" i="28"/>
  <c r="B38" i="28"/>
  <c r="B30" i="28"/>
  <c r="A59" i="28"/>
  <c r="B32" i="28"/>
  <c r="A23" i="28"/>
  <c r="A15" i="28"/>
  <c r="A7" i="28"/>
  <c r="B68" i="28"/>
  <c r="B36" i="28"/>
  <c r="B25" i="28"/>
  <c r="B17" i="28"/>
  <c r="B9" i="28"/>
  <c r="B1" i="28"/>
  <c r="C45" i="28"/>
  <c r="A28" i="28"/>
  <c r="C19" i="28"/>
  <c r="C11" i="28"/>
  <c r="C3" i="28"/>
  <c r="A55" i="28"/>
  <c r="A31" i="28"/>
  <c r="A22" i="28"/>
  <c r="A14" i="28"/>
  <c r="A6" i="28"/>
  <c r="I26" i="19"/>
  <c r="N3" i="19"/>
  <c r="L26" i="19"/>
  <c r="B25" i="19"/>
  <c r="K26" i="19"/>
  <c r="A25" i="19"/>
  <c r="F26" i="19"/>
  <c r="K3" i="19"/>
  <c r="C192" i="28"/>
  <c r="C184" i="28"/>
  <c r="C176" i="28"/>
  <c r="C168" i="28"/>
  <c r="C160" i="28"/>
  <c r="C152" i="28"/>
  <c r="C144" i="28"/>
  <c r="C136" i="28"/>
  <c r="C128" i="28"/>
  <c r="C120" i="28"/>
  <c r="C112" i="28"/>
  <c r="C104" i="28"/>
  <c r="C96" i="28"/>
  <c r="C88" i="28"/>
  <c r="C80" i="28"/>
  <c r="C72" i="28"/>
  <c r="C64" i="28"/>
  <c r="C56" i="28"/>
  <c r="C48" i="28"/>
  <c r="C40" i="28"/>
  <c r="C193" i="28"/>
  <c r="C185" i="28"/>
  <c r="C177" i="28"/>
  <c r="C169" i="28"/>
  <c r="C161" i="28"/>
  <c r="C153" i="28"/>
  <c r="C145" i="28"/>
  <c r="C137" i="28"/>
  <c r="C129" i="28"/>
  <c r="C121" i="28"/>
  <c r="C113" i="28"/>
  <c r="C105" i="28"/>
  <c r="C97" i="28"/>
  <c r="C89" i="28"/>
  <c r="C81" i="28"/>
  <c r="C194" i="28"/>
  <c r="C186" i="28"/>
  <c r="C178" i="28"/>
  <c r="C170" i="28"/>
  <c r="C162" i="28"/>
  <c r="C154" i="28"/>
  <c r="C146" i="28"/>
  <c r="C138" i="28"/>
  <c r="C130" i="28"/>
  <c r="C122" i="28"/>
  <c r="C114" i="28"/>
  <c r="C106" i="28"/>
  <c r="C98" i="28"/>
  <c r="C90" i="28"/>
  <c r="C82" i="28"/>
  <c r="C74" i="28"/>
  <c r="C66" i="28"/>
  <c r="C58" i="28"/>
  <c r="C50" i="28"/>
  <c r="C42" i="28"/>
  <c r="C34" i="28"/>
  <c r="A189" i="28"/>
  <c r="A181" i="28"/>
  <c r="A173" i="28"/>
  <c r="A165" i="28"/>
  <c r="A157" i="28"/>
  <c r="A149" i="28"/>
  <c r="A141" i="28"/>
  <c r="A133" i="28"/>
  <c r="A125" i="28"/>
  <c r="A117" i="28"/>
  <c r="A109" i="28"/>
  <c r="A101" i="28"/>
  <c r="A93" i="28"/>
  <c r="A85" i="28"/>
  <c r="A77" i="28"/>
  <c r="A69" i="28"/>
  <c r="A61" i="28"/>
  <c r="A53" i="28"/>
  <c r="A45" i="28"/>
  <c r="A37" i="28"/>
  <c r="A29" i="28"/>
  <c r="C53" i="28"/>
  <c r="C30" i="28"/>
  <c r="C21" i="28"/>
  <c r="C13" i="28"/>
  <c r="C5" i="28"/>
  <c r="A63" i="28"/>
  <c r="C33" i="28"/>
  <c r="A24" i="28"/>
  <c r="A16" i="28"/>
  <c r="A8" i="28"/>
  <c r="B72" i="28"/>
  <c r="B40" i="28"/>
  <c r="B26" i="28"/>
  <c r="B18" i="28"/>
  <c r="B10" i="28"/>
  <c r="B2" i="28"/>
  <c r="C49" i="28"/>
  <c r="B29" i="28"/>
  <c r="C20" i="28"/>
  <c r="C12" i="28"/>
  <c r="C4" i="28"/>
  <c r="E26" i="19"/>
  <c r="J3" i="19"/>
  <c r="H26" i="19"/>
  <c r="M3" i="19"/>
  <c r="G26" i="19"/>
  <c r="L3" i="19"/>
  <c r="B26" i="19"/>
  <c r="G3" i="19"/>
  <c r="W296" i="5" l="1"/>
  <c r="W287" i="6"/>
  <c r="W323" i="5"/>
  <c r="W188" i="5"/>
  <c r="D13" i="22"/>
  <c r="D14" i="22"/>
  <c r="D4" i="22"/>
  <c r="W192" i="5"/>
  <c r="W306" i="5"/>
  <c r="W131" i="6"/>
  <c r="D131" i="6" s="1"/>
  <c r="W361" i="6"/>
  <c r="W41" i="6"/>
  <c r="D41" i="6" s="1"/>
  <c r="W147" i="6"/>
  <c r="W150" i="6"/>
  <c r="W177" i="6"/>
  <c r="W186" i="6"/>
  <c r="W217" i="6"/>
  <c r="W244" i="6"/>
  <c r="W272" i="6"/>
  <c r="W301" i="6"/>
  <c r="W307" i="6"/>
  <c r="W310" i="6"/>
  <c r="W38" i="5"/>
  <c r="W51" i="5"/>
  <c r="W77" i="5"/>
  <c r="W107" i="5"/>
  <c r="W155" i="5"/>
  <c r="W226" i="5"/>
  <c r="W316" i="5"/>
  <c r="W86" i="6"/>
  <c r="W129" i="6"/>
  <c r="W295" i="6"/>
  <c r="W270" i="6"/>
  <c r="W269" i="5"/>
  <c r="W337" i="6"/>
  <c r="W221" i="6"/>
  <c r="D221" i="6" s="1"/>
  <c r="W186" i="5"/>
  <c r="W122" i="5"/>
  <c r="W34" i="5"/>
  <c r="W337" i="5"/>
  <c r="W398" i="6"/>
  <c r="W316" i="6"/>
  <c r="W386" i="5"/>
  <c r="W155" i="6"/>
  <c r="W377" i="5"/>
  <c r="W309" i="5"/>
  <c r="W237" i="5"/>
  <c r="W165" i="6"/>
  <c r="W346" i="5"/>
  <c r="W117" i="5"/>
  <c r="D117" i="5" s="1"/>
  <c r="W120" i="5"/>
  <c r="W388" i="5"/>
  <c r="W245" i="5"/>
  <c r="W109" i="5"/>
  <c r="W20" i="5"/>
  <c r="W165" i="5"/>
  <c r="W59" i="5"/>
  <c r="W307" i="5"/>
  <c r="W87" i="5"/>
  <c r="W40" i="5"/>
  <c r="W270" i="5"/>
  <c r="W50" i="5"/>
  <c r="W94" i="5"/>
  <c r="W201" i="5"/>
  <c r="W341" i="5"/>
  <c r="W25" i="5"/>
  <c r="D25" i="5" s="1"/>
  <c r="W58" i="5"/>
  <c r="W125" i="5"/>
  <c r="W193" i="5"/>
  <c r="W308" i="5"/>
  <c r="W391" i="5"/>
  <c r="W46" i="5"/>
  <c r="W134" i="5"/>
  <c r="W344" i="5"/>
  <c r="W36" i="5"/>
  <c r="W185" i="5"/>
  <c r="W102" i="5"/>
  <c r="W366" i="5"/>
  <c r="W128" i="5"/>
  <c r="W275" i="5"/>
  <c r="W130" i="5"/>
  <c r="W82" i="5"/>
  <c r="W398" i="5"/>
  <c r="W189" i="5"/>
  <c r="W54" i="5"/>
  <c r="W149" i="5"/>
  <c r="W212" i="5"/>
  <c r="W400" i="5"/>
  <c r="W29" i="5"/>
  <c r="D29" i="5" s="1"/>
  <c r="W153" i="5"/>
  <c r="W220" i="5"/>
  <c r="W325" i="5"/>
  <c r="W64" i="5"/>
  <c r="W161" i="5"/>
  <c r="W238" i="5"/>
  <c r="W381" i="5"/>
  <c r="W16" i="5"/>
  <c r="W147" i="5"/>
  <c r="W197" i="5"/>
  <c r="W298" i="5"/>
  <c r="W352" i="5"/>
  <c r="W236" i="5"/>
  <c r="W312" i="5"/>
  <c r="D312" i="5" s="1"/>
  <c r="W378" i="5"/>
  <c r="W162" i="5"/>
  <c r="W200" i="5"/>
  <c r="W229" i="5"/>
  <c r="D229" i="5" s="1"/>
  <c r="W242" i="5"/>
  <c r="W260" i="5"/>
  <c r="W288" i="5"/>
  <c r="W297" i="5"/>
  <c r="W322" i="5"/>
  <c r="D322" i="5" s="1"/>
  <c r="W335" i="5"/>
  <c r="W361" i="5"/>
  <c r="W383" i="5"/>
  <c r="W228" i="5"/>
  <c r="D228" i="5" s="1"/>
  <c r="W274" i="5"/>
  <c r="W363" i="5"/>
  <c r="W72" i="5"/>
  <c r="W301" i="5"/>
  <c r="W146" i="5"/>
  <c r="W340" i="5"/>
  <c r="W27" i="5"/>
  <c r="W216" i="5"/>
  <c r="W123" i="5"/>
  <c r="W73" i="5"/>
  <c r="W385" i="5"/>
  <c r="W177" i="5"/>
  <c r="W78" i="5"/>
  <c r="D78" i="5" s="1"/>
  <c r="W154" i="5"/>
  <c r="W271" i="5"/>
  <c r="W405" i="5"/>
  <c r="W276" i="5"/>
  <c r="D276" i="5" s="1"/>
  <c r="W35" i="5"/>
  <c r="W84" i="5"/>
  <c r="W157" i="5"/>
  <c r="W227" i="5"/>
  <c r="W360" i="5"/>
  <c r="W76" i="5"/>
  <c r="W163" i="5"/>
  <c r="W256" i="5"/>
  <c r="W39" i="5"/>
  <c r="W108" i="5"/>
  <c r="W401" i="5"/>
  <c r="W285" i="5"/>
  <c r="W110" i="5"/>
  <c r="W225" i="5"/>
  <c r="D225" i="5" s="1"/>
  <c r="W66" i="5"/>
  <c r="W369" i="5"/>
  <c r="W156" i="5"/>
  <c r="W56" i="5"/>
  <c r="W334" i="5"/>
  <c r="W137" i="5"/>
  <c r="W93" i="5"/>
  <c r="W336" i="5"/>
  <c r="W183" i="5"/>
  <c r="D183" i="5" s="1"/>
  <c r="W53" i="5"/>
  <c r="W95" i="5"/>
  <c r="W172" i="5"/>
  <c r="W251" i="5"/>
  <c r="W389" i="5"/>
  <c r="W28" i="5"/>
  <c r="W221" i="5"/>
  <c r="D221" i="5" s="1"/>
  <c r="W305" i="5"/>
  <c r="W206" i="5"/>
  <c r="W160" i="5"/>
  <c r="W150" i="5"/>
  <c r="W198" i="5"/>
  <c r="W204" i="5"/>
  <c r="W2" i="5"/>
  <c r="D2" i="5" s="1"/>
  <c r="W164" i="5"/>
  <c r="W168" i="5"/>
  <c r="W402" i="5"/>
  <c r="W136" i="5"/>
  <c r="W207" i="5"/>
  <c r="W287" i="5"/>
  <c r="W362" i="5"/>
  <c r="W173" i="5"/>
  <c r="W214" i="5"/>
  <c r="W240" i="5"/>
  <c r="W259" i="5"/>
  <c r="W289" i="5"/>
  <c r="W310" i="5"/>
  <c r="W326" i="5"/>
  <c r="W351" i="5"/>
  <c r="W380" i="5"/>
  <c r="W239" i="5"/>
  <c r="W284" i="5"/>
  <c r="D284" i="5" s="1"/>
  <c r="W338" i="5"/>
  <c r="W395" i="5"/>
  <c r="W145" i="5"/>
  <c r="W75" i="5"/>
  <c r="W105" i="5"/>
  <c r="W148" i="5"/>
  <c r="W314" i="5"/>
  <c r="W174" i="5"/>
  <c r="W291" i="5"/>
  <c r="W387" i="5"/>
  <c r="W175" i="5"/>
  <c r="W241" i="5"/>
  <c r="W261" i="5"/>
  <c r="W313" i="5"/>
  <c r="W358" i="5"/>
  <c r="W244" i="5"/>
  <c r="W347" i="5"/>
  <c r="W26" i="5"/>
  <c r="W203" i="5"/>
  <c r="W235" i="5"/>
  <c r="W219" i="5"/>
  <c r="W290" i="5"/>
  <c r="W329" i="5"/>
  <c r="W390" i="5"/>
  <c r="W292" i="5"/>
  <c r="W104" i="5"/>
  <c r="W43" i="5"/>
  <c r="W83" i="5"/>
  <c r="W343" i="5"/>
  <c r="W233" i="5"/>
  <c r="W17" i="5"/>
  <c r="W280" i="5"/>
  <c r="W49" i="5"/>
  <c r="W176" i="5"/>
  <c r="W246" i="5"/>
  <c r="W213" i="5"/>
  <c r="W394" i="5"/>
  <c r="W187" i="5"/>
  <c r="W224" i="5"/>
  <c r="W243" i="5"/>
  <c r="W267" i="5"/>
  <c r="W293" i="5"/>
  <c r="W318" i="5"/>
  <c r="D318" i="5" s="1"/>
  <c r="W332" i="5"/>
  <c r="W364" i="5"/>
  <c r="W393" i="5"/>
  <c r="W257" i="5"/>
  <c r="W299" i="5"/>
  <c r="W354" i="5"/>
  <c r="W15" i="5"/>
  <c r="W382" i="5"/>
  <c r="W89" i="5"/>
  <c r="W61" i="5"/>
  <c r="D61" i="5" s="1"/>
  <c r="W319" i="5"/>
  <c r="W368" i="5"/>
  <c r="W106" i="5"/>
  <c r="W180" i="5"/>
  <c r="W328" i="5"/>
  <c r="W254" i="5"/>
  <c r="W330" i="5"/>
  <c r="W403" i="5"/>
  <c r="W230" i="5"/>
  <c r="W250" i="5"/>
  <c r="W272" i="5"/>
  <c r="W295" i="5"/>
  <c r="W342" i="5"/>
  <c r="W367" i="5"/>
  <c r="W396" i="5"/>
  <c r="W205" i="5"/>
  <c r="W262" i="5"/>
  <c r="W317" i="5"/>
  <c r="D317" i="5" s="1"/>
  <c r="W370" i="5"/>
  <c r="W31" i="5"/>
  <c r="W57" i="5"/>
  <c r="W74" i="5"/>
  <c r="W103" i="5"/>
  <c r="W199" i="5"/>
  <c r="W278" i="5"/>
  <c r="W312" i="6"/>
  <c r="D312" i="6" s="1"/>
  <c r="W11" i="6"/>
  <c r="W245" i="6"/>
  <c r="W140" i="6"/>
  <c r="W404" i="6"/>
  <c r="W207" i="6"/>
  <c r="W195" i="6"/>
  <c r="W23" i="6"/>
  <c r="W75" i="6"/>
  <c r="W151" i="6"/>
  <c r="W201" i="6"/>
  <c r="W264" i="6"/>
  <c r="W367" i="6"/>
  <c r="W33" i="6"/>
  <c r="W182" i="6"/>
  <c r="W279" i="6"/>
  <c r="W218" i="6"/>
  <c r="W342" i="6"/>
  <c r="W206" i="6"/>
  <c r="W27" i="6"/>
  <c r="W12" i="6"/>
  <c r="W349" i="6"/>
  <c r="W356" i="6"/>
  <c r="W299" i="6"/>
  <c r="W65" i="6"/>
  <c r="W213" i="6"/>
  <c r="W46" i="6"/>
  <c r="W161" i="6"/>
  <c r="W248" i="6"/>
  <c r="W335" i="6"/>
  <c r="W157" i="6"/>
  <c r="W406" i="6"/>
  <c r="W386" i="6"/>
  <c r="W302" i="6"/>
  <c r="W236" i="6"/>
  <c r="W326" i="6"/>
  <c r="W402" i="6"/>
  <c r="W357" i="6"/>
  <c r="W85" i="6"/>
  <c r="W371" i="6"/>
  <c r="W288" i="6"/>
  <c r="W233" i="6"/>
  <c r="W89" i="6"/>
  <c r="W222" i="6"/>
  <c r="D222" i="6" s="1"/>
  <c r="W50" i="6"/>
  <c r="W168" i="6"/>
  <c r="W383" i="6"/>
  <c r="W191" i="6"/>
  <c r="W300" i="6"/>
  <c r="W203" i="6"/>
  <c r="W210" i="6"/>
  <c r="W366" i="6"/>
  <c r="W88" i="6"/>
  <c r="W253" i="6"/>
  <c r="W121" i="6"/>
  <c r="W63" i="6"/>
  <c r="W394" i="6"/>
  <c r="W331" i="6"/>
  <c r="W368" i="6"/>
  <c r="W271" i="6"/>
  <c r="W219" i="6"/>
  <c r="W196" i="6"/>
  <c r="W114" i="6"/>
  <c r="W281" i="6"/>
  <c r="W59" i="6"/>
  <c r="W176" i="6"/>
  <c r="W265" i="6"/>
  <c r="W403" i="6"/>
  <c r="W40" i="6"/>
  <c r="W247" i="6"/>
  <c r="W328" i="6"/>
  <c r="W97" i="6"/>
  <c r="W125" i="6"/>
  <c r="W229" i="6"/>
  <c r="D229" i="6" s="1"/>
  <c r="W338" i="6"/>
  <c r="W362" i="6"/>
  <c r="W325" i="6"/>
  <c r="W373" i="6"/>
  <c r="W54" i="6"/>
  <c r="W204" i="6"/>
  <c r="W230" i="6"/>
  <c r="W141" i="6"/>
  <c r="W376" i="6"/>
  <c r="W382" i="6"/>
  <c r="W35" i="6"/>
  <c r="W322" i="6"/>
  <c r="D322" i="6" s="1"/>
  <c r="W148" i="6"/>
  <c r="W340" i="6"/>
  <c r="W31" i="6"/>
  <c r="W64" i="6"/>
  <c r="W202" i="6"/>
  <c r="W280" i="6"/>
  <c r="W145" i="6"/>
  <c r="W259" i="6"/>
  <c r="W347" i="6"/>
  <c r="W120" i="6"/>
  <c r="W344" i="6"/>
  <c r="W346" i="6"/>
  <c r="W334" i="6"/>
  <c r="W115" i="6"/>
  <c r="W139" i="6"/>
  <c r="W174" i="6"/>
  <c r="W214" i="6"/>
  <c r="W291" i="6"/>
  <c r="W303" i="6"/>
  <c r="W254" i="6"/>
  <c r="W399" i="5"/>
  <c r="W158" i="5"/>
  <c r="W88" i="5"/>
  <c r="W389" i="6"/>
  <c r="W379" i="5"/>
  <c r="W154" i="6"/>
  <c r="W374" i="5"/>
  <c r="W232" i="5"/>
  <c r="D232" i="5" s="1"/>
  <c r="W108" i="6"/>
  <c r="W339" i="5"/>
  <c r="W111" i="5"/>
  <c r="W33" i="5"/>
  <c r="W47" i="5"/>
  <c r="W62" i="5"/>
  <c r="W196" i="5"/>
  <c r="W231" i="5"/>
  <c r="W320" i="5"/>
  <c r="W132" i="6"/>
  <c r="W172" i="6"/>
  <c r="W237" i="6"/>
  <c r="W262" i="6"/>
  <c r="W297" i="6"/>
  <c r="W390" i="6"/>
  <c r="W62" i="6"/>
  <c r="W255" i="5"/>
  <c r="W357" i="5"/>
  <c r="W166" i="6"/>
  <c r="W278" i="6"/>
  <c r="W210" i="5"/>
  <c r="W164" i="6"/>
  <c r="W350" i="6"/>
  <c r="W379" i="6"/>
  <c r="W363" i="6"/>
  <c r="W378" i="6"/>
  <c r="W331" i="5"/>
  <c r="W83" i="6"/>
  <c r="W348" i="5"/>
  <c r="W282" i="5"/>
  <c r="W209" i="5"/>
  <c r="W58" i="6"/>
  <c r="W235" i="6"/>
  <c r="W266" i="5"/>
  <c r="W304" i="5"/>
  <c r="W397" i="5"/>
  <c r="W182" i="5"/>
  <c r="W252" i="5"/>
  <c r="W42" i="5"/>
  <c r="W60" i="5"/>
  <c r="W131" i="5"/>
  <c r="D131" i="5" s="1"/>
  <c r="W302" i="5"/>
  <c r="W48" i="6"/>
  <c r="D48" i="6" s="1"/>
  <c r="W117" i="6"/>
  <c r="D117" i="6" s="1"/>
  <c r="W190" i="6"/>
  <c r="D190" i="6" s="1"/>
  <c r="W276" i="6"/>
  <c r="D276" i="6" s="1"/>
  <c r="W283" i="6"/>
  <c r="D283" i="6" s="1"/>
  <c r="W25" i="6"/>
  <c r="D25" i="6" s="1"/>
  <c r="W84" i="6"/>
  <c r="W193" i="6"/>
  <c r="W341" i="6"/>
  <c r="W360" i="6"/>
  <c r="W358" i="6"/>
  <c r="W370" i="6"/>
  <c r="W321" i="5"/>
  <c r="W309" i="6"/>
  <c r="W66" i="6"/>
  <c r="W345" i="5"/>
  <c r="W273" i="5"/>
  <c r="W208" i="5"/>
  <c r="W263" i="5"/>
  <c r="W286" i="5"/>
  <c r="W384" i="5"/>
  <c r="W139" i="5"/>
  <c r="W404" i="5"/>
  <c r="T314" i="6"/>
  <c r="U314" i="6" s="1"/>
  <c r="U313" i="6"/>
  <c r="W315" i="6"/>
  <c r="W318" i="6"/>
  <c r="D318" i="6" s="1"/>
  <c r="W11" i="5"/>
  <c r="W85" i="5"/>
  <c r="W41" i="5"/>
  <c r="D41" i="5" s="1"/>
  <c r="W129" i="5"/>
  <c r="W132" i="5"/>
  <c r="W142" i="5"/>
  <c r="W169" i="5"/>
  <c r="D169" i="5" s="1"/>
  <c r="W211" i="5"/>
  <c r="W249" i="5"/>
  <c r="W315" i="5"/>
  <c r="W350" i="5"/>
  <c r="W353" i="5"/>
  <c r="W380" i="6"/>
  <c r="C3" i="21"/>
  <c r="C9" i="21"/>
  <c r="C14" i="21"/>
  <c r="D6" i="22"/>
  <c r="D10" i="22"/>
  <c r="D29" i="22"/>
  <c r="D30" i="22"/>
  <c r="D11" i="22"/>
  <c r="D19" i="22"/>
  <c r="D25" i="22"/>
  <c r="C5" i="21"/>
  <c r="C11" i="21"/>
  <c r="D3" i="22"/>
  <c r="D7" i="22"/>
  <c r="D8" i="22"/>
  <c r="D21" i="22"/>
  <c r="D27" i="22"/>
  <c r="W355" i="5"/>
  <c r="W294" i="5"/>
  <c r="W392" i="5"/>
  <c r="W265" i="5"/>
  <c r="W194" i="5"/>
  <c r="D194" i="5" s="1"/>
  <c r="W151" i="5"/>
  <c r="W63" i="5"/>
  <c r="W375" i="5"/>
  <c r="W247" i="5"/>
  <c r="W166" i="5"/>
  <c r="W327" i="5"/>
  <c r="W248" i="5"/>
  <c r="W190" i="5"/>
  <c r="D190" i="5" s="1"/>
  <c r="W71" i="5"/>
  <c r="W376" i="5"/>
  <c r="W215" i="5"/>
  <c r="W170" i="5"/>
  <c r="W92" i="5"/>
  <c r="W48" i="5"/>
  <c r="D48" i="5" s="1"/>
  <c r="W23" i="5"/>
  <c r="W80" i="5"/>
  <c r="W114" i="5"/>
  <c r="W171" i="5"/>
  <c r="W45" i="5"/>
  <c r="W68" i="5"/>
  <c r="W135" i="5"/>
  <c r="W277" i="5"/>
  <c r="W10" i="5"/>
  <c r="W21" i="5"/>
  <c r="D21" i="5" s="1"/>
  <c r="W19" i="5"/>
  <c r="W202" i="5"/>
  <c r="W101" i="5"/>
  <c r="W22" i="5"/>
  <c r="W30" i="5"/>
  <c r="W65" i="5"/>
  <c r="W283" i="5"/>
  <c r="D283" i="5" s="1"/>
  <c r="W24" i="5"/>
  <c r="D24" i="5" s="1"/>
  <c r="W67" i="5"/>
  <c r="W37" i="5"/>
  <c r="W121" i="5"/>
  <c r="W179" i="5"/>
  <c r="D179" i="5" s="1"/>
  <c r="W195" i="5"/>
  <c r="W268" i="5"/>
  <c r="W279" i="5"/>
  <c r="W324" i="5"/>
  <c r="W70" i="5"/>
  <c r="W86" i="5"/>
  <c r="W100" i="5"/>
  <c r="W115" i="5"/>
  <c r="W159" i="5"/>
  <c r="W217" i="5"/>
  <c r="W223" i="5"/>
  <c r="W234" i="5"/>
  <c r="W303" i="5"/>
  <c r="W356" i="5"/>
  <c r="W365" i="5"/>
  <c r="W371" i="5"/>
  <c r="W242" i="6"/>
  <c r="W4" i="6"/>
  <c r="W105" i="6"/>
  <c r="W47" i="6"/>
  <c r="W100" i="6"/>
  <c r="W327" i="6"/>
  <c r="W8" i="5"/>
  <c r="W55" i="5"/>
  <c r="W138" i="5"/>
  <c r="W144" i="5"/>
  <c r="W222" i="5"/>
  <c r="D222" i="5" s="1"/>
  <c r="W333" i="5"/>
  <c r="W44" i="5"/>
  <c r="W97" i="5"/>
  <c r="W113" i="5"/>
  <c r="W116" i="5"/>
  <c r="W140" i="5"/>
  <c r="W143" i="5"/>
  <c r="W184" i="5"/>
  <c r="W191" i="5"/>
  <c r="W218" i="5"/>
  <c r="W253" i="5"/>
  <c r="W264" i="5"/>
  <c r="W349" i="5"/>
  <c r="W373" i="5"/>
  <c r="W228" i="6"/>
  <c r="D228" i="6" s="1"/>
  <c r="W329" i="6"/>
  <c r="W401" i="6"/>
  <c r="C13" i="21"/>
  <c r="W17" i="6"/>
  <c r="D30" i="23"/>
  <c r="D31" i="23"/>
  <c r="T316" i="6"/>
  <c r="U316" i="6" s="1"/>
  <c r="U315" i="6"/>
  <c r="W330" i="6"/>
  <c r="W333" i="6"/>
  <c r="W336" i="6"/>
  <c r="W339" i="6"/>
  <c r="W345" i="6"/>
  <c r="W348" i="6"/>
  <c r="W351" i="6"/>
  <c r="W354" i="6"/>
  <c r="W369" i="6"/>
  <c r="W372" i="6"/>
  <c r="W375" i="6"/>
  <c r="W381" i="6"/>
  <c r="W384" i="6"/>
  <c r="W387" i="6"/>
  <c r="W393" i="6"/>
  <c r="W396" i="6"/>
  <c r="W399" i="6"/>
  <c r="W405" i="6"/>
  <c r="W16" i="6"/>
  <c r="W107" i="6"/>
  <c r="W209" i="6"/>
  <c r="W246" i="6"/>
  <c r="W332" i="6"/>
  <c r="W57" i="6"/>
  <c r="W55" i="6"/>
  <c r="W136" i="6"/>
  <c r="W42" i="6"/>
  <c r="W7" i="6"/>
  <c r="W13" i="6"/>
  <c r="W365" i="6"/>
  <c r="W294" i="6"/>
  <c r="W267" i="6"/>
  <c r="W391" i="6"/>
  <c r="W305" i="6"/>
  <c r="W251" i="6"/>
  <c r="W103" i="6"/>
  <c r="W353" i="6"/>
  <c r="W175" i="6"/>
  <c r="W317" i="6"/>
  <c r="D317" i="6" s="1"/>
  <c r="W298" i="6"/>
  <c r="W162" i="6"/>
  <c r="W70" i="6"/>
  <c r="W128" i="6"/>
  <c r="W187" i="6"/>
  <c r="W197" i="6"/>
  <c r="W320" i="6"/>
  <c r="W22" i="6"/>
  <c r="W51" i="6"/>
  <c r="W67" i="6"/>
  <c r="W87" i="6"/>
  <c r="W146" i="6"/>
  <c r="W160" i="6"/>
  <c r="W179" i="6"/>
  <c r="D179" i="6" s="1"/>
  <c r="W216" i="6"/>
  <c r="W249" i="6"/>
  <c r="W269" i="6"/>
  <c r="W323" i="6"/>
  <c r="W15" i="6"/>
  <c r="W112" i="6"/>
  <c r="W234" i="6"/>
  <c r="W258" i="6"/>
  <c r="W400" i="6"/>
  <c r="W29" i="6"/>
  <c r="D29" i="6" s="1"/>
  <c r="W60" i="6"/>
  <c r="W56" i="6"/>
  <c r="W142" i="6"/>
  <c r="W53" i="6"/>
  <c r="W170" i="6"/>
  <c r="W183" i="6"/>
  <c r="D183" i="6" s="1"/>
  <c r="W8" i="6"/>
  <c r="W261" i="6"/>
  <c r="W377" i="6"/>
  <c r="W304" i="6"/>
  <c r="W231" i="6"/>
  <c r="W123" i="6"/>
  <c r="W101" i="6"/>
  <c r="W158" i="6"/>
  <c r="W138" i="6"/>
  <c r="W43" i="6"/>
  <c r="W71" i="6"/>
  <c r="W93" i="6"/>
  <c r="W130" i="6"/>
  <c r="W188" i="6"/>
  <c r="W224" i="6"/>
  <c r="W321" i="6"/>
  <c r="W2" i="6"/>
  <c r="D2" i="6" s="1"/>
  <c r="W113" i="6"/>
  <c r="W238" i="6"/>
  <c r="W263" i="6"/>
  <c r="W352" i="6"/>
  <c r="W184" i="6"/>
  <c r="W72" i="6"/>
  <c r="W143" i="6"/>
  <c r="W20" i="6"/>
  <c r="W78" i="6"/>
  <c r="D78" i="6" s="1"/>
  <c r="W171" i="6"/>
  <c r="W9" i="6"/>
  <c r="W388" i="6"/>
  <c r="W292" i="6"/>
  <c r="W257" i="6"/>
  <c r="W290" i="6"/>
  <c r="W215" i="6"/>
  <c r="W116" i="6"/>
  <c r="W397" i="6"/>
  <c r="W275" i="6"/>
  <c r="W110" i="6"/>
  <c r="W359" i="6"/>
  <c r="W314" i="6"/>
  <c r="W273" i="6"/>
  <c r="W44" i="6"/>
  <c r="W94" i="6"/>
  <c r="W156" i="6"/>
  <c r="W189" i="6"/>
  <c r="W211" i="6"/>
  <c r="W227" i="6"/>
  <c r="W324" i="6"/>
  <c r="W38" i="6"/>
  <c r="W61" i="6"/>
  <c r="D61" i="6" s="1"/>
  <c r="W80" i="6"/>
  <c r="W104" i="6"/>
  <c r="W163" i="6"/>
  <c r="W180" i="6"/>
  <c r="W220" i="6"/>
  <c r="W256" i="6"/>
  <c r="W285" i="6"/>
  <c r="W77" i="6"/>
  <c r="W149" i="6"/>
  <c r="W192" i="6"/>
  <c r="W319" i="6"/>
  <c r="W232" i="6"/>
  <c r="D232" i="6" s="1"/>
  <c r="W306" i="6"/>
  <c r="W392" i="6"/>
  <c r="W250" i="6"/>
  <c r="W95" i="6"/>
  <c r="W199" i="6"/>
  <c r="W296" i="6"/>
  <c r="W374" i="6"/>
  <c r="W21" i="6"/>
  <c r="D21" i="6" s="1"/>
  <c r="W34" i="6"/>
  <c r="W205" i="6"/>
  <c r="W239" i="6"/>
  <c r="W282" i="6"/>
  <c r="W364" i="6"/>
  <c r="W185" i="6"/>
  <c r="W144" i="6"/>
  <c r="W26" i="6"/>
  <c r="W3" i="6"/>
  <c r="W10" i="6"/>
  <c r="W385" i="6"/>
  <c r="W343" i="6"/>
  <c r="W284" i="6"/>
  <c r="D284" i="6" s="1"/>
  <c r="W252" i="6"/>
  <c r="W289" i="6"/>
  <c r="W173" i="6"/>
  <c r="W111" i="6"/>
  <c r="W255" i="6"/>
  <c r="W109" i="6"/>
  <c r="W313" i="6"/>
  <c r="W268" i="6"/>
  <c r="W223" i="6"/>
  <c r="W28" i="6"/>
  <c r="W45" i="6"/>
  <c r="W74" i="6"/>
  <c r="W106" i="6"/>
  <c r="W159" i="6"/>
  <c r="W194" i="6"/>
  <c r="D194" i="6" s="1"/>
  <c r="W212" i="6"/>
  <c r="W241" i="6"/>
  <c r="W39" i="6"/>
  <c r="W122" i="6"/>
  <c r="W153" i="6"/>
  <c r="W167" i="6"/>
  <c r="W200" i="6"/>
  <c r="W226" i="6"/>
  <c r="W260" i="6"/>
  <c r="W286" i="6"/>
  <c r="W355" i="6"/>
  <c r="W102" i="6"/>
  <c r="W208" i="6"/>
  <c r="W243" i="6"/>
  <c r="W49" i="6"/>
  <c r="W135" i="6"/>
  <c r="W36" i="6"/>
  <c r="W169" i="6"/>
  <c r="D169" i="6" s="1"/>
  <c r="W19" i="6"/>
  <c r="W24" i="6"/>
  <c r="D24" i="6" s="1"/>
  <c r="W30" i="6"/>
  <c r="W37" i="6"/>
  <c r="W73" i="6"/>
  <c r="W76" i="6"/>
  <c r="W82" i="6"/>
  <c r="W92" i="6"/>
  <c r="W134" i="6"/>
  <c r="W137" i="6"/>
  <c r="W152" i="6"/>
  <c r="W198" i="6"/>
  <c r="W225" i="6"/>
  <c r="D225" i="6" s="1"/>
  <c r="W277" i="6"/>
  <c r="W293" i="6"/>
  <c r="W3" i="5"/>
  <c r="W9" i="5"/>
  <c r="W12" i="5"/>
  <c r="W13" i="5"/>
  <c r="W7" i="5"/>
  <c r="T316" i="5"/>
  <c r="U316" i="5" s="1"/>
  <c r="W4" i="5"/>
  <c r="W112" i="5"/>
  <c r="W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T2" authorId="0" shapeId="0" xr:uid="{00000000-0006-0000-0100-000001000000}">
      <text>
        <r>
          <rPr>
            <sz val="10"/>
            <color rgb="FF000000"/>
            <rFont val="Arial"/>
            <family val="2"/>
          </rPr>
          <t>คิดค่าเสื่อมที่ประมาณ 5% ต่อปี
	-nitiwat tohnak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T2" authorId="0" shapeId="0" xr:uid="{00000000-0006-0000-0200-000001000000}">
      <text>
        <r>
          <rPr>
            <sz val="10"/>
            <color rgb="FF000000"/>
            <rFont val="Arial"/>
            <family val="2"/>
          </rPr>
          <t>คิดค่าเสื่อมที่ประมาณ 5% ต่อปี
	-nitiwat tohnak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5" authorId="0" shapeId="0" xr:uid="{00000000-0006-0000-1900-000001000000}">
      <text>
        <r>
          <rPr>
            <sz val="10"/>
            <color rgb="FF000000"/>
            <rFont val="Arial"/>
            <family val="2"/>
          </rPr>
          <t>น.ท.กฤษพล เข้าแทน</t>
        </r>
      </text>
    </comment>
    <comment ref="L5" authorId="0" shapeId="0" xr:uid="{00000000-0006-0000-1900-000002000000}">
      <text>
        <r>
          <rPr>
            <sz val="10"/>
            <color rgb="FF000000"/>
            <rFont val="Arial"/>
            <family val="2"/>
          </rPr>
          <t xml:space="preserve">น.ต.กฤษพล เข้าแทน
</t>
        </r>
      </text>
    </comment>
    <comment ref="E7" authorId="0" shapeId="0" xr:uid="{00000000-0006-0000-1900-000003000000}">
      <text>
        <r>
          <rPr>
            <sz val="10"/>
            <color rgb="FF000000"/>
            <rFont val="Arial"/>
            <family val="2"/>
          </rPr>
          <t>ร.อ.เข้าแทน</t>
        </r>
      </text>
    </comment>
    <comment ref="F7" authorId="0" shapeId="0" xr:uid="{00000000-0006-0000-1900-000004000000}">
      <text>
        <r>
          <rPr>
            <sz val="10"/>
            <color rgb="FF000000"/>
            <rFont val="Arial"/>
            <family val="2"/>
          </rPr>
          <t>ร.อ.เข้าแทน</t>
        </r>
      </text>
    </comment>
    <comment ref="H7" authorId="0" shapeId="0" xr:uid="{00000000-0006-0000-1900-000005000000}">
      <text>
        <r>
          <rPr>
            <sz val="10"/>
            <color rgb="FF000000"/>
            <rFont val="Arial"/>
            <family val="2"/>
          </rPr>
          <t xml:space="preserve">ร.อ. เข้าแทน
</t>
        </r>
      </text>
    </comment>
    <comment ref="J7" authorId="0" shapeId="0" xr:uid="{00000000-0006-0000-1900-000006000000}">
      <text>
        <r>
          <rPr>
            <sz val="10"/>
            <color rgb="FF000000"/>
            <rFont val="Arial"/>
            <family val="2"/>
          </rPr>
          <t xml:space="preserve">ร.อ. เข้าแทน
</t>
        </r>
      </text>
    </comment>
    <comment ref="K7" authorId="0" shapeId="0" xr:uid="{00000000-0006-0000-1900-000007000000}">
      <text>
        <r>
          <rPr>
            <sz val="10"/>
            <color rgb="FF000000"/>
            <rFont val="Arial"/>
            <family val="2"/>
          </rPr>
          <t>ร.อ. เข้าแทน</t>
        </r>
      </text>
    </comment>
    <comment ref="N7" authorId="0" shapeId="0" xr:uid="{00000000-0006-0000-1900-000008000000}">
      <text>
        <r>
          <rPr>
            <sz val="10"/>
            <color rgb="FF000000"/>
            <rFont val="Arial"/>
            <family val="2"/>
          </rPr>
          <t>ร.อ. เข้าแทน</t>
        </r>
      </text>
    </comment>
    <comment ref="O7" authorId="0" shapeId="0" xr:uid="{00000000-0006-0000-1900-000009000000}">
      <text>
        <r>
          <rPr>
            <sz val="10"/>
            <color rgb="FF000000"/>
            <rFont val="Arial"/>
            <family val="2"/>
          </rPr>
          <t>ร.อ.เข้าแทน</t>
        </r>
      </text>
    </comment>
    <comment ref="H8" authorId="0" shapeId="0" xr:uid="{00000000-0006-0000-1900-00000A000000}">
      <text>
        <r>
          <rPr>
            <sz val="10"/>
            <color rgb="FF000000"/>
            <rFont val="Arial"/>
            <family val="2"/>
          </rPr>
          <t xml:space="preserve">น.ต.สุรชัย เข้าแทน
</t>
        </r>
      </text>
    </comment>
    <comment ref="I9" authorId="0" shapeId="0" xr:uid="{00000000-0006-0000-1900-00000B000000}">
      <text>
        <r>
          <rPr>
            <sz val="10"/>
            <color rgb="FF000000"/>
            <rFont val="Arial"/>
            <family val="2"/>
          </rPr>
          <t>น.ท.เข้าแทน</t>
        </r>
      </text>
    </comment>
    <comment ref="O9" authorId="0" shapeId="0" xr:uid="{00000000-0006-0000-1900-00000C000000}">
      <text>
        <r>
          <rPr>
            <sz val="10"/>
            <color rgb="FF000000"/>
            <rFont val="Arial"/>
            <family val="2"/>
          </rPr>
          <t>น.ท. เข้าแทน</t>
        </r>
      </text>
    </comment>
    <comment ref="E13" authorId="0" shapeId="0" xr:uid="{00000000-0006-0000-1900-00000D000000}">
      <text>
        <r>
          <rPr>
            <sz val="10"/>
            <color rgb="FF000000"/>
            <rFont val="Arial"/>
            <family val="2"/>
          </rPr>
          <t>ร.ต.เข้าแทน</t>
        </r>
      </text>
    </comment>
    <comment ref="F13" authorId="0" shapeId="0" xr:uid="{00000000-0006-0000-1900-00000E000000}">
      <text>
        <r>
          <rPr>
            <sz val="10"/>
            <color rgb="FF000000"/>
            <rFont val="Arial"/>
            <family val="2"/>
          </rPr>
          <t xml:space="preserve">ร.ต. เข้าแทน
</t>
        </r>
      </text>
    </comment>
    <comment ref="G13" authorId="0" shapeId="0" xr:uid="{00000000-0006-0000-1900-00000F000000}">
      <text>
        <r>
          <rPr>
            <sz val="10"/>
            <color rgb="FF000000"/>
            <rFont val="Arial"/>
            <family val="2"/>
          </rPr>
          <t>น.อ. เข้าแทน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4" authorId="0" shapeId="0" xr:uid="{00000000-0006-0000-1A00-000001000000}">
      <text>
        <r>
          <rPr>
            <sz val="10"/>
            <color rgb="FF000000"/>
            <rFont val="Arial"/>
            <family val="2"/>
          </rPr>
          <t>มีคนเข้าแทน</t>
        </r>
      </text>
    </comment>
    <comment ref="I4" authorId="0" shapeId="0" xr:uid="{00000000-0006-0000-1A00-000002000000}">
      <text>
        <r>
          <rPr>
            <sz val="10"/>
            <color rgb="FF000000"/>
            <rFont val="Arial"/>
            <family val="2"/>
          </rPr>
          <t>มีคนเข้าแทน</t>
        </r>
      </text>
    </comment>
    <comment ref="K4" authorId="0" shapeId="0" xr:uid="{00000000-0006-0000-1A00-000003000000}">
      <text>
        <r>
          <rPr>
            <sz val="10"/>
            <color rgb="FF000000"/>
            <rFont val="Arial"/>
            <family val="2"/>
          </rPr>
          <t>มีคนเข้าแทน</t>
        </r>
      </text>
    </comment>
    <comment ref="E5" authorId="0" shapeId="0" xr:uid="{00000000-0006-0000-1A00-000004000000}">
      <text>
        <r>
          <rPr>
            <sz val="10"/>
            <color rgb="FF000000"/>
            <rFont val="Arial"/>
            <family val="2"/>
          </rPr>
          <t>มีคนเข้าแทน</t>
        </r>
      </text>
    </comment>
    <comment ref="F5" authorId="0" shapeId="0" xr:uid="{00000000-0006-0000-1A00-000005000000}">
      <text>
        <r>
          <rPr>
            <sz val="10"/>
            <color rgb="FF000000"/>
            <rFont val="Arial"/>
            <family val="2"/>
          </rPr>
          <t>มีคนเข้าแทน</t>
        </r>
      </text>
    </comment>
    <comment ref="H5" authorId="0" shapeId="0" xr:uid="{00000000-0006-0000-1A00-000006000000}">
      <text>
        <r>
          <rPr>
            <sz val="10"/>
            <color rgb="FF000000"/>
            <rFont val="Arial"/>
            <family val="2"/>
          </rPr>
          <t>มีคนเข้าแทน</t>
        </r>
      </text>
    </comment>
    <comment ref="F6" authorId="0" shapeId="0" xr:uid="{00000000-0006-0000-1A00-000007000000}">
      <text>
        <r>
          <rPr>
            <sz val="10"/>
            <color rgb="FF000000"/>
            <rFont val="Arial"/>
            <family val="2"/>
          </rPr>
          <t>มีคนเข้าแทน</t>
        </r>
      </text>
    </comment>
    <comment ref="G6" authorId="0" shapeId="0" xr:uid="{00000000-0006-0000-1A00-000008000000}">
      <text>
        <r>
          <rPr>
            <sz val="10"/>
            <color rgb="FF000000"/>
            <rFont val="Arial"/>
            <family val="2"/>
          </rPr>
          <t>มีคนเข้าแทน</t>
        </r>
      </text>
    </comment>
    <comment ref="H6" authorId="0" shapeId="0" xr:uid="{00000000-0006-0000-1A00-000009000000}">
      <text>
        <r>
          <rPr>
            <sz val="10"/>
            <color rgb="FF000000"/>
            <rFont val="Arial"/>
            <family val="2"/>
          </rPr>
          <t>มีคนเข้าแทน</t>
        </r>
      </text>
    </comment>
    <comment ref="J6" authorId="0" shapeId="0" xr:uid="{00000000-0006-0000-1A00-00000A000000}">
      <text>
        <r>
          <rPr>
            <sz val="10"/>
            <color rgb="FF000000"/>
            <rFont val="Arial"/>
            <family val="2"/>
          </rPr>
          <t>มีคนเข้าแทน</t>
        </r>
      </text>
    </comment>
    <comment ref="L6" authorId="0" shapeId="0" xr:uid="{00000000-0006-0000-1A00-00000B000000}">
      <text>
        <r>
          <rPr>
            <sz val="10"/>
            <color rgb="FF000000"/>
            <rFont val="Arial"/>
            <family val="2"/>
          </rPr>
          <t>มีคนเข้าแทน</t>
        </r>
      </text>
    </comment>
    <comment ref="E8" authorId="0" shapeId="0" xr:uid="{00000000-0006-0000-1A00-00000C000000}">
      <text>
        <r>
          <rPr>
            <sz val="10"/>
            <color rgb="FF000000"/>
            <rFont val="Arial"/>
            <family val="2"/>
          </rPr>
          <t>มีคนเข้าแทน</t>
        </r>
      </text>
    </comment>
    <comment ref="I15" authorId="0" shapeId="0" xr:uid="{00000000-0006-0000-1A00-00000D000000}">
      <text>
        <r>
          <rPr>
            <sz val="10"/>
            <color rgb="FF000000"/>
            <rFont val="Arial"/>
            <family val="2"/>
          </rPr>
          <t>มีคนเข้าแทน</t>
        </r>
      </text>
    </comment>
    <comment ref="E20" authorId="0" shapeId="0" xr:uid="{00000000-0006-0000-1A00-00000E000000}">
      <text>
        <r>
          <rPr>
            <sz val="10"/>
            <color rgb="FF000000"/>
            <rFont val="Arial"/>
            <family val="2"/>
          </rPr>
          <t xml:space="preserve">แทน ผอ. กอค
</t>
        </r>
      </text>
    </comment>
    <comment ref="F20" authorId="0" shapeId="0" xr:uid="{00000000-0006-0000-1A00-00000F000000}">
      <text>
        <r>
          <rPr>
            <sz val="10"/>
            <color rgb="FF000000"/>
            <rFont val="Arial"/>
            <family val="2"/>
          </rPr>
          <t xml:space="preserve">แทน ผอ. กอค
</t>
        </r>
      </text>
    </comment>
    <comment ref="H20" authorId="0" shapeId="0" xr:uid="{00000000-0006-0000-1A00-000010000000}">
      <text>
        <r>
          <rPr>
            <sz val="10"/>
            <color rgb="FF000000"/>
            <rFont val="Arial"/>
            <family val="2"/>
          </rPr>
          <t xml:space="preserve">แทน ผอ. กอค
</t>
        </r>
      </text>
    </comment>
    <comment ref="F21" authorId="0" shapeId="0" xr:uid="{00000000-0006-0000-1A00-000011000000}">
      <text>
        <r>
          <rPr>
            <sz val="10"/>
            <color rgb="FF000000"/>
            <rFont val="Arial"/>
            <family val="2"/>
          </rPr>
          <t>แทน ผอ. กรง</t>
        </r>
      </text>
    </comment>
    <comment ref="G21" authorId="0" shapeId="0" xr:uid="{00000000-0006-0000-1A00-000012000000}">
      <text>
        <r>
          <rPr>
            <sz val="10"/>
            <color rgb="FF000000"/>
            <rFont val="Arial"/>
            <family val="2"/>
          </rPr>
          <t>แทน ผอ. กรง</t>
        </r>
      </text>
    </comment>
    <comment ref="K21" authorId="0" shapeId="0" xr:uid="{00000000-0006-0000-1A00-000013000000}">
      <text>
        <r>
          <rPr>
            <sz val="10"/>
            <color rgb="FF000000"/>
            <rFont val="Arial"/>
            <family val="2"/>
          </rPr>
          <t>แทน ผอ. กรง</t>
        </r>
      </text>
    </comment>
    <comment ref="F22" authorId="0" shapeId="0" xr:uid="{00000000-0006-0000-1A00-000014000000}">
      <text>
        <r>
          <rPr>
            <sz val="10"/>
            <color rgb="FF000000"/>
            <rFont val="Arial"/>
            <family val="2"/>
          </rPr>
          <t>แทน ผอ.กสน</t>
        </r>
      </text>
    </comment>
    <comment ref="G22" authorId="0" shapeId="0" xr:uid="{00000000-0006-0000-1A00-000015000000}">
      <text>
        <r>
          <rPr>
            <sz val="10"/>
            <color rgb="FF000000"/>
            <rFont val="Arial"/>
            <family val="2"/>
          </rPr>
          <t>แทน ผอ.กสน</t>
        </r>
      </text>
    </comment>
    <comment ref="H22" authorId="0" shapeId="0" xr:uid="{00000000-0006-0000-1A00-000016000000}">
      <text>
        <r>
          <rPr>
            <sz val="10"/>
            <color rgb="FF000000"/>
            <rFont val="Arial"/>
            <family val="2"/>
          </rPr>
          <t>แทน ผอ.กสน</t>
        </r>
      </text>
    </comment>
    <comment ref="I22" authorId="0" shapeId="0" xr:uid="{00000000-0006-0000-1A00-000017000000}">
      <text>
        <r>
          <rPr>
            <sz val="10"/>
            <color rgb="FF000000"/>
            <rFont val="Arial"/>
            <family val="2"/>
          </rPr>
          <t>แทน ผอ.กสน</t>
        </r>
      </text>
    </comment>
    <comment ref="G24" authorId="0" shapeId="0" xr:uid="{00000000-0006-0000-1A00-000018000000}">
      <text>
        <r>
          <rPr>
            <sz val="10"/>
            <color rgb="FF000000"/>
            <rFont val="Arial"/>
            <family val="2"/>
          </rPr>
          <t>แทน ผอ.กสน</t>
        </r>
      </text>
    </comment>
    <comment ref="I24" authorId="0" shapeId="0" xr:uid="{00000000-0006-0000-1A00-000019000000}">
      <text>
        <r>
          <rPr>
            <sz val="10"/>
            <color rgb="FF000000"/>
            <rFont val="Arial"/>
            <family val="2"/>
          </rPr>
          <t>แทน ผอ.กสน</t>
        </r>
      </text>
    </comment>
    <comment ref="L24" authorId="0" shapeId="0" xr:uid="{00000000-0006-0000-1A00-00001A000000}">
      <text>
        <r>
          <rPr>
            <sz val="10"/>
            <color rgb="FF000000"/>
            <rFont val="Arial"/>
            <family val="2"/>
          </rPr>
          <t>แทน ผอ.กสน</t>
        </r>
      </text>
    </comment>
    <comment ref="I25" authorId="0" shapeId="0" xr:uid="{00000000-0006-0000-1A00-00001B000000}">
      <text>
        <r>
          <rPr>
            <sz val="10"/>
            <color rgb="FF000000"/>
            <rFont val="Arial"/>
            <family val="2"/>
          </rPr>
          <t>แทน หน.ผจง.กวก.ชย.ทอ.</t>
        </r>
      </text>
    </comment>
  </commentList>
</comments>
</file>

<file path=xl/sharedStrings.xml><?xml version="1.0" encoding="utf-8"?>
<sst xmlns="http://schemas.openxmlformats.org/spreadsheetml/2006/main" count="22843" uniqueCount="4291">
  <si>
    <t xml:space="preserve"> </t>
  </si>
  <si>
    <t>พัสดุ(2)</t>
  </si>
  <si>
    <t>กอง</t>
  </si>
  <si>
    <t>ชย.ทอ.ที่</t>
  </si>
  <si>
    <t>ปี</t>
  </si>
  <si>
    <t xml:space="preserve">  ชื่อคุณลักษณะ(1)</t>
  </si>
  <si>
    <t>เอกสาร PDF</t>
  </si>
  <si>
    <t>ราคา</t>
  </si>
  <si>
    <t>เอกสาร
PDF</t>
  </si>
  <si>
    <t>คำแนะนำ</t>
  </si>
  <si>
    <t>หมายเลขพัสดุ</t>
  </si>
  <si>
    <t>หมายเหตุ</t>
  </si>
  <si>
    <t>ผ่านการประชุมในระดับกองฯแล้ว</t>
  </si>
  <si>
    <t>เอกสาร
คู่เทียบ 3 ยี่ห้อ พ้อมขีดข้อความสำคัญ</t>
  </si>
  <si>
    <t>ตารางเปรียบเทียบคุณสมบัติของ 3 ยี่ห้อ</t>
  </si>
  <si>
    <t>ราคาของ
แต่ละยี่ห้อ</t>
  </si>
  <si>
    <t>ถ่ายสำเนา
เพื่อแจกกรรมการ
12 ชุด</t>
  </si>
  <si>
    <t>ไฟล์ข้อมูล
ดิจิตอล</t>
  </si>
  <si>
    <t>อายุการใช้งาน</t>
  </si>
  <si>
    <t>ต้องจัดซื้อ พ.ศ</t>
  </si>
  <si>
    <t>ห้ามลบ</t>
  </si>
  <si>
    <t>หน่วยผู้ใช้</t>
  </si>
  <si>
    <t>แก้ไขหน่วยนับ</t>
  </si>
  <si>
    <t>แก้ไขราคา</t>
  </si>
  <si>
    <t>10000-0144</t>
  </si>
  <si>
    <t>บัญชี สน.งป.ฯ</t>
  </si>
  <si>
    <t>มาตรฐานครุภัณฑ์</t>
  </si>
  <si>
    <t>ก. รถส่วนกลาง รถนั่ง ส่วนกลาง ปริมาตรกระบอกสูบไม่เกิน 1,300 ซีซี (Eco Car)</t>
  </si>
  <si>
    <t>คัน</t>
  </si>
  <si>
    <t xml:space="preserve">  </t>
  </si>
  <si>
    <t>10000-0145</t>
  </si>
  <si>
    <t>ก. รถส่วนกลาง รถนั่ง ส่วนกลาง ปริมาตรกระบอกสูบไม่เกิน 1,600 ซีซี หรือก้าลังเครื่องยนต์สูงสุดไม่ต่ำกว่า 65 กิโลวัตต์</t>
  </si>
  <si>
    <t>10000-0146</t>
  </si>
  <si>
    <t>ก. รถส่วนกลาง รถนั่ง ส่วนกลาง ปริมาตรกระบอกสูบไม่เกิน 1,800 ซีซี หรือก้าลังเครื่องยนต์สูงสุดไม่ต่ำกว่า 85 กิโลวัตต์</t>
  </si>
  <si>
    <t>10000-0278</t>
  </si>
  <si>
    <t>กล้องจุลทรรศน์ชนิด 2 ตา งานวิจัย</t>
  </si>
  <si>
    <t>กล้อง</t>
  </si>
  <si>
    <t>กฟฟ.ฯ</t>
  </si>
  <si>
    <t>2320 1/59</t>
  </si>
  <si>
    <t>10000-0277</t>
  </si>
  <si>
    <t>กล้องจุลทรรศน์ชนิด 2 ตา งานสอน</t>
  </si>
  <si>
    <t>รถกระเช้าไฟฟ้า</t>
  </si>
  <si>
    <t>10000-0279</t>
  </si>
  <si>
    <t>กล้องจุลทรรศน์ชนิด 3 ตา พร้อมชุดถ่ายภาพระบบดิจิตอล</t>
  </si>
  <si>
    <t>10000-0276</t>
  </si>
  <si>
    <t>กล้องจุลทรรศน์ชนิดตาเดียว</t>
  </si>
  <si>
    <t>10000-0088</t>
  </si>
  <si>
    <t>กล้องถ่ายภาพ ระบบดิจิตอล ความละเอียด 16 ล้านพิกเซล</t>
  </si>
  <si>
    <t>ตัว</t>
  </si>
  <si>
    <t>10000-0089</t>
  </si>
  <si>
    <t>กล้องถ่ายภาพ ระบบดิจิตอล ความละเอียด 20 ล้านพิกเซล</t>
  </si>
  <si>
    <t>10000-0266</t>
  </si>
  <si>
    <t>กล้องระดับขนาดกำลังขยาย 24 เท่่า</t>
  </si>
  <si>
    <t>ชุด</t>
  </si>
  <si>
    <t>2320 1/60</t>
  </si>
  <si>
    <t>รถกระเช้าไฟฟ้า ความสูงไม่น้อยกว่า 24 เมตร</t>
  </si>
  <si>
    <t>รถกระเช้าไฟฟ้า ความสูงไม่น้อยกว่า 11 เมตร</t>
  </si>
  <si>
    <t>10000-0267</t>
  </si>
  <si>
    <t>กล้องระดับขนาดกำลังขยาย 30 เท่า</t>
  </si>
  <si>
    <t>2320 2/59</t>
  </si>
  <si>
    <t>รถซ่อมบำรุงไฟฟ้า</t>
  </si>
  <si>
    <t>10000-0268</t>
  </si>
  <si>
    <t>กล้องวัดมุมแบบธรรมดา ชนิดอ่านค่ามุมได้ละเอียด 1 ลิปดา</t>
  </si>
  <si>
    <t>กสน.ฯ</t>
  </si>
  <si>
    <t>2320 3/62</t>
  </si>
  <si>
    <t>10000-0271</t>
  </si>
  <si>
    <t>กล้องวัดมุมแบบอิเล็กทรอนิกส์ชนิดอ่านค่ามุมได้ละเอียด 10 พิลิปดา</t>
  </si>
  <si>
    <t>10000-0272</t>
  </si>
  <si>
    <t>กล้องวัดมุมแบบอิเล็กทรอนิกส์ชนิดอ่านค่ามุมได้ละเอียด 20 พิลิปดา</t>
  </si>
  <si>
    <t>รถดูดสิ่งปฏิกูล</t>
  </si>
  <si>
    <t>10000-0270</t>
  </si>
  <si>
    <t>กล้องวัดมุมแบบอิเล็กทรอนิกส์ชนิดอ่านค่ามุมได้ละเอียด  5 พิลิปดา</t>
  </si>
  <si>
    <t>รอการขอยกเลิกคุณลักษณะ</t>
  </si>
  <si>
    <t>2320 1/52</t>
  </si>
  <si>
    <t>10000-0269</t>
  </si>
  <si>
    <t>กล้องวัดมุมแบบอิเล็กทรอนิกส์ชนิดอ่านค่ามุมได้ละเอียด 5 พิลิปดา(ระบบอัตโนมัติ )</t>
  </si>
  <si>
    <t>10000-0225</t>
  </si>
  <si>
    <t>เครื่องเจาะกระดาษและเข้าเล่ม แบบเจาะกระดาษไฟฟ้า และเข้าเล่มมือโยก</t>
  </si>
  <si>
    <t>เครื่อง</t>
  </si>
  <si>
    <t>10000-0224</t>
  </si>
  <si>
    <t>เครื่องเจาะกระดาษและเข้าเล่ม แบบเจาะกระดาษ และเข้าเล่มมือโยก</t>
  </si>
  <si>
    <t>2320 1/61</t>
  </si>
  <si>
    <t>รถเติมเชื้อเพลิงอากาศยาน ขนาดบรรจุ 20,000 ลิตร</t>
  </si>
  <si>
    <t>10000-0081</t>
  </si>
  <si>
    <t>เครื่องฉายภาพ 3 มิติ</t>
  </si>
  <si>
    <t>10000-0057</t>
  </si>
  <si>
    <t>เครื่องชั่งน้ำหนัก แบบคานสมดุลพร้อมที่วัดส่วนสูง</t>
  </si>
  <si>
    <t>10000-0058</t>
  </si>
  <si>
    <t>เครื่องชั่งน้ำหนัก แบบดิจิตอลพร้อมที่วัดส่วนสูง</t>
  </si>
  <si>
    <t>2320 2/56</t>
  </si>
  <si>
    <t>รถเติมเชื้อเพลิงอากาศยาน ชนิดลากจูง (AIRCRAFT REFUELING TRAILER ) ขนาดบรรจุ 2,000 ลิตร</t>
  </si>
  <si>
    <t>10000-0033</t>
  </si>
  <si>
    <t>เครื่องชั่ง แบบดิจิตอล ขนาด 1,000 กิโลกรัม</t>
  </si>
  <si>
    <t>10000-0034</t>
  </si>
  <si>
    <t>เครื่องชั่ง แบบดิจิตอล ขนาด 2,000 กิโลกรัม</t>
  </si>
  <si>
    <t>2320 3/56</t>
  </si>
  <si>
    <t>รถเติมเชื้อเพลิงอากาศยาน ชนิดลากจูง (AIRCRAFT REFUELING TRAILER) ขนาดบรรจุ 3,000 ลิตร</t>
  </si>
  <si>
    <t>10000-0031</t>
  </si>
  <si>
    <t>เครื่องชั่ง แบบดิจิตอล ขนาด  300 กิโลกรัม</t>
  </si>
  <si>
    <t>2320 1/56</t>
  </si>
  <si>
    <t>รถเติม WATER METHANOL อากาศยาน ขนาด 5,000 ลิตร</t>
  </si>
  <si>
    <t>10000-0032</t>
  </si>
  <si>
    <t>เครื่องชั่ง แบบดิจิตอล ขนาด  500 กิโลกรัม</t>
  </si>
  <si>
    <t>10000-0029</t>
  </si>
  <si>
    <t>เครื่องชั่ง แบบมีตุ้มถ่วง ขนาด 1,000 กิโลกรัม</t>
  </si>
  <si>
    <t>2320 2/58</t>
  </si>
  <si>
    <t>รถบรรทุกขนาด 12 ตัน 10 ล้อ แบบกระบะเทท้าย</t>
  </si>
  <si>
    <t>10000-0030</t>
  </si>
  <si>
    <t>เครื่องชั่ง แบบมีตุ้มถ่วง ขนาด 2,000 กิโลกรัม</t>
  </si>
  <si>
    <t>2320 3/54</t>
  </si>
  <si>
    <t>รถบรรทุก ขนาด 2 ตัน 4 ล้อ เเบบกระบะเทท้าย</t>
  </si>
  <si>
    <t>10000-0121</t>
  </si>
  <si>
    <t>เครื่องซักผ้า แบบธรรมดา ขนาด 15 กิโลกรัม</t>
  </si>
  <si>
    <t>10000-0123</t>
  </si>
  <si>
    <t>เครื่องซักผ้า แบบอุตสาหกรรม ขนาด 125 ปอนด์</t>
  </si>
  <si>
    <t>2320 4/58</t>
  </si>
  <si>
    <t>รถบรรทุกขนาด 6 ตัน 6 ล้อ แบบกระบะเทท้าย</t>
  </si>
  <si>
    <t>10000-0124</t>
  </si>
  <si>
    <t>เครื่องซักผ้า แบบอุตสาหกรรม ขนาด 200 ปอนด์</t>
  </si>
  <si>
    <t>2320 2/62</t>
  </si>
  <si>
    <t>รถบรรทุกขยะ ขนาด 1 ตัน</t>
  </si>
  <si>
    <t>10000-0125</t>
  </si>
  <si>
    <t>เครื่องซักผ้า แบบอุตสาหกรรม ขนาด 400 ปอนด์</t>
  </si>
  <si>
    <t>10000-0122</t>
  </si>
  <si>
    <t>เครื่องซักผ้า แบบอุตสาหกรรม ขนาด  50 ปอนด์</t>
  </si>
  <si>
    <t>2320 3/58</t>
  </si>
  <si>
    <t>รถบรรทุกขยะแบบอัดขนาด 10 ลูกบาศก์เมตร</t>
  </si>
  <si>
    <t>10000-0120</t>
  </si>
  <si>
    <t>เครื่องดูดควัน</t>
  </si>
  <si>
    <t>10000-0248</t>
  </si>
  <si>
    <t>เครื่องดูดฝุ่นขนาด 15 ลิตร</t>
  </si>
  <si>
    <t>2320 1/55</t>
  </si>
  <si>
    <t>รถบรรทุกขยะ เเบบอัด ขนาด 5 ลูกบาศก์เมตร</t>
  </si>
  <si>
    <t>10000-0249</t>
  </si>
  <si>
    <t>เครื่องดูดฝุ่นขนาด 25 ลิตร</t>
  </si>
  <si>
    <t>2320 2/57</t>
  </si>
  <si>
    <t>รถบรรทุก (ดีเซล) ขนาด 2 ตัน 4 ล้อ</t>
  </si>
  <si>
    <t>10000-0056</t>
  </si>
  <si>
    <t>เครื่องดูดเสมหะ</t>
  </si>
  <si>
    <t>2320 3/57</t>
  </si>
  <si>
    <t>10000-0009</t>
  </si>
  <si>
    <t>เครื่องตบดิน</t>
  </si>
  <si>
    <t>10000-0274</t>
  </si>
  <si>
    <t>เครื่องตรวจจับโลหะใต้ดิน</t>
  </si>
  <si>
    <t>2320 1/62</t>
  </si>
  <si>
    <t>รถบริการงานช่างโยธาเคลื่อนที่</t>
  </si>
  <si>
    <t>10000-0116</t>
  </si>
  <si>
    <t>เครื่องตัดแต่งพุ่มไม้ ขนาด 22 นิ้ว</t>
  </si>
  <si>
    <t>10000-0117</t>
  </si>
  <si>
    <t>เครื่องตัดแต่งพุ่มไม้ ขนาด 29.5 นิ้ว</t>
  </si>
  <si>
    <t>2320 3/60</t>
  </si>
  <si>
    <t>10000-0111</t>
  </si>
  <si>
    <t>เครื่องตัดหญ้าแบบข้อแข็ง</t>
  </si>
  <si>
    <t>ชย.ทอ. 2/56</t>
  </si>
  <si>
    <t>รถปั้นจั่น ขนาดไม่น้อยกว่า 100 ตัน</t>
  </si>
  <si>
    <t>10000-0112</t>
  </si>
  <si>
    <t>เครื่องตัดหญ้าแบบข้ออ่อน</t>
  </si>
  <si>
    <t>กรง.ฯ</t>
  </si>
  <si>
    <t>2320 4/60</t>
  </si>
  <si>
    <t>รถบริการงานช่างโยธาเคลื่อนที่เร็ว</t>
  </si>
  <si>
    <t>10000-0113</t>
  </si>
  <si>
    <t>เครื่องตัดหญ้าแบบเข็น</t>
  </si>
  <si>
    <t>ชย.ทอ. 1/56</t>
  </si>
  <si>
    <t>รถปั้นจั่น ขนาดไม่น้อยกว่า 50 ตัน</t>
  </si>
  <si>
    <t>10000-0115</t>
  </si>
  <si>
    <t>เครื่องตัดหญ้าแบบนั่งขับ</t>
  </si>
  <si>
    <t>10000-0114</t>
  </si>
  <si>
    <t>เครื่องตัดหญ้าแบบล้อจักรยาน</t>
  </si>
  <si>
    <t>10000-0194</t>
  </si>
  <si>
    <t>เครื่องตัดเหล็ก แบบมือถือ ขนาด 1.60 มิลลิเมตร</t>
  </si>
  <si>
    <t>10000-0195</t>
  </si>
  <si>
    <t>เครื่องตัดเหล็ก แบบมือถือ ขนาด 2.50 มิลลิเมตร</t>
  </si>
  <si>
    <t>2420 1/56</t>
  </si>
  <si>
    <t>รถฟาร์มแทรกเตอร์ ขนาดไม่ต่ำกว่า 40 แรงม้า พร้อมชุดเครื่องพ่วงตัดหญ้า</t>
  </si>
  <si>
    <t>10000-0205</t>
  </si>
  <si>
    <t>เครื่องถ่ายเอกสาร ระบบดิจิตอล (ขาว - ดำ ) ความเร็ว 10 แผ่นต่อนาที</t>
  </si>
  <si>
    <t>10000-0206</t>
  </si>
  <si>
    <t>รถปั้นจั่น เคลื่อนย้ายพัสดุ</t>
  </si>
  <si>
    <t>เครื่องถ่ายเอกสาร ระบบดิจิตอล (ขาว - ดำ ) ความเร็ว 20 แผ่นต่อนาที</t>
  </si>
  <si>
    <t>10000-0207</t>
  </si>
  <si>
    <t>เครื่องถ่ายเอกสาร ระบบดิจิตอล (ขาว - ดำ ) ความเร็ว 30 แผ่นต่อนาที</t>
  </si>
  <si>
    <t>2420 1/58</t>
  </si>
  <si>
    <t>รถฟาร์มแทรกเตอร์ ขนาดไม่ตำกว่า 85 แรงม้าพร้อมชุดเครื่องพ่วงตัดหญ้าและชุดใบมีดปรับพื้นที่</t>
  </si>
  <si>
    <t>10000-0208</t>
  </si>
  <si>
    <t>เครื่องถ่ายเอกสาร ระบบดิจิตอล (ขาว - ดำ ) ความเร็ว 40 แผ่นต่อนาที</t>
  </si>
  <si>
    <t>10000-0209</t>
  </si>
  <si>
    <t>เครื่องถ่ายเอกสาร ระบบดิจิตอล (ขาว - ดำ ) ความเร็ว 50 แผ่นต่อนาที</t>
  </si>
  <si>
    <t>10000-0210</t>
  </si>
  <si>
    <t>เครื่องถ่ายเอกสาร ระบบดิจิตอล (ขาว - ดำ และสี ) ความเร็ว 20 แผ่นต่อนาที</t>
  </si>
  <si>
    <t>10000-0211</t>
  </si>
  <si>
    <t>เครื่องถ่ายเอกสาร ระบบดิจิตอล (ขาว - ดำ และสี ) ความเร็ว 30 แผ่นต่อนาที</t>
  </si>
  <si>
    <t>กอค.ฯ</t>
  </si>
  <si>
    <t>3220 1/57</t>
  </si>
  <si>
    <t>เครื่องเลื่อยสายพานชนิดตั้งแท่น</t>
  </si>
  <si>
    <t>10000-0212</t>
  </si>
  <si>
    <t>เครื่องถ่ายเอกสาร ระบบดิจิตอล (ขาว - ดำ และสี ) ความเร็ว 40 แผ่นต่อนาที</t>
  </si>
  <si>
    <t>10000-0213</t>
  </si>
  <si>
    <t>เครื่องถ่ายเอกสาร ระบบดิจิตอล (ขาว - ดำ และสี ) ความเร็ว 50 แผ่นต่อนาที</t>
  </si>
  <si>
    <t>10000-0108</t>
  </si>
  <si>
    <t>เครื่องทำน้ำเย็นแบบต่อท่อ ขนาด 1 ก๊อก</t>
  </si>
  <si>
    <t>10000-0109</t>
  </si>
  <si>
    <t>เครื่องทำน้ำเย็นแบบต่อท่อ ขนาด 2 ก๊อก</t>
  </si>
  <si>
    <t>3220 2/58</t>
  </si>
  <si>
    <t>เครื่องไสและปรับไม้</t>
  </si>
  <si>
    <t>10000-0110</t>
  </si>
  <si>
    <t>เครื่องทำน้ำร้อน-น้ำเย็นแบบต่อท่อ  ขนาด 2 ก๊อก</t>
  </si>
  <si>
    <t>10000-0218</t>
  </si>
  <si>
    <t>เครื่องทำลายเอกสาร แบบตัดตรง ทำลายครั้งละ 10 แผ่น</t>
  </si>
  <si>
    <t>3230 1/57</t>
  </si>
  <si>
    <t>เครื่องเลื่อยปรับองศา ขนาด 12 นิ้ว</t>
  </si>
  <si>
    <t>10000-0219</t>
  </si>
  <si>
    <t>เครื่องทำลายเอกสาร แบบตัดตรง ทำลายครั้งละ 20 แผ่น</t>
  </si>
  <si>
    <t>10000-0220</t>
  </si>
  <si>
    <t>เครื่องทำลายเอกสาร แบบตัดตรง ทำลายครั้งละ 30 แผ่น</t>
  </si>
  <si>
    <t>10000-0221</t>
  </si>
  <si>
    <t>เครื่องทำลายเอกสาร แบบตัดละเอียด ทำลายครั้งละ 10 แผ่น</t>
  </si>
  <si>
    <t>10000-0222</t>
  </si>
  <si>
    <t>เครื่องทำลายเอกสาร แบบตัดละเอียด ทำลายครั้งละ 20 แผ่น</t>
  </si>
  <si>
    <t>10000-0223</t>
  </si>
  <si>
    <t>เครื่องทำลายเอกสาร แบบตัดละเอียด ทำลายครั้งละ 30 แผ่น</t>
  </si>
  <si>
    <t>3405 1/52</t>
  </si>
  <si>
    <t>เครื่องตัดโลหะชนิดใช้แผ่นไฟเบอร์ ขนาด ๑๔ นิ้ว</t>
  </si>
  <si>
    <t>10000-0203</t>
  </si>
  <si>
    <t>เครื่องโทรสาร แบบใช้กระดาษธรรมดา ส่งเอกสารได้ครั้งละ 20 แผ่น</t>
  </si>
  <si>
    <t>10000-0204</t>
  </si>
  <si>
    <t>เครื่องโทรสาร แบบใช้กระดาษธรรมดา ส่งเอกสารได้ครั้งละ 30 แผ่น</t>
  </si>
  <si>
    <t>3413 1/52</t>
  </si>
  <si>
    <t>สว่านเจาะแบบแท่นชนิดตั้งโต๊ะ</t>
  </si>
  <si>
    <t>10000-0227</t>
  </si>
  <si>
    <t>เครื่องนับธนบัตร แบบตั้งโต๊ะ</t>
  </si>
  <si>
    <t>10000-0228</t>
  </si>
  <si>
    <t>เครื่องนับธนบัตร แบบตั้งพื้น</t>
  </si>
  <si>
    <t>3416 1/59</t>
  </si>
  <si>
    <t>เครื่องกลึงอเนกประสงค์ขนาด 1,500 มิลลิเมตร</t>
  </si>
  <si>
    <t>10000-0280</t>
  </si>
  <si>
    <t>เครื่องนับเม็ดยา</t>
  </si>
  <si>
    <t>10000-0226</t>
  </si>
  <si>
    <t>3431 2/53</t>
  </si>
  <si>
    <t>เครื่องบันทึกเงินสด</t>
  </si>
  <si>
    <t>เครื่องเชื่อมพร้อมเเหล่งกำเนิดไฟฟ้า</t>
  </si>
  <si>
    <t>10000-0025</t>
  </si>
  <si>
    <t>เครื่องพ่นยา แบบใช้แรงดันของเหลว ชนิดตั้งพื้น ขนาด 2.5 แรงม้า</t>
  </si>
  <si>
    <t>10000-0026</t>
  </si>
  <si>
    <t>3431 1/55</t>
  </si>
  <si>
    <t>เครื่องเชื่อมไฟฟ้า ขนาด 300 แอมแปร์</t>
  </si>
  <si>
    <t>เครื่องพ่นยา แบบใช้แรงดันของเหลว ชนิดตั้งพื้น ขนาด 3.5 แรงม้า</t>
  </si>
  <si>
    <t>10000-0027</t>
  </si>
  <si>
    <t>เครื่องพ่นยา แบบใช้แรงลม ชนิดสะพายหลัง ขนาด 3.5 แรงม้า</t>
  </si>
  <si>
    <t>3431 1/54</t>
  </si>
  <si>
    <t>10000-0028</t>
  </si>
  <si>
    <t>เครื่องเชื่อมเเบบมือถือ</t>
  </si>
  <si>
    <t>เครื่องพ่นหมอกควัน</t>
  </si>
  <si>
    <t>10000-0260</t>
  </si>
  <si>
    <t>เครื่องพิมพ์บัตรพลาสติกแบบหน้าเดียว</t>
  </si>
  <si>
    <t>3416 1/55</t>
  </si>
  <si>
    <t>เครื่องกลึงขนาดเล็ก</t>
  </si>
  <si>
    <t>กปภ.ฯ</t>
  </si>
  <si>
    <t>3432 1/54</t>
  </si>
  <si>
    <t xml:space="preserve">เครื่องเชื่อมท่อ พีอี ขนาดเส้นผ่าศูนย์กลาง 315 - 500 มิลลิเมตร </t>
  </si>
  <si>
    <t>10000-0214</t>
  </si>
  <si>
    <t>เครื่องพิมพ์สำเนาระบบดิจิตอล ความละเอียด 300 x 300 จุดต่อตารางนิ้ว</t>
  </si>
  <si>
    <t>10000-0215</t>
  </si>
  <si>
    <t>เครื่องพิมพ์สำเนาระบบดิจิตอล ความละเอียด 300 x 400 จุดต่อตารางนิ้ว</t>
  </si>
  <si>
    <t>3432 1/56</t>
  </si>
  <si>
    <t>10000-0216</t>
  </si>
  <si>
    <t>เครื่องเชื่อมท่อ พีอี ขนาดเส้นผ่าศูนย์กลาง 90 - 315 มิลลิเมตร</t>
  </si>
  <si>
    <t>เครื่องพิมพ์สำเนาระบบดิจิตอล ความละเอียด 300 x 600 จุดต่อตารางนิ้ว</t>
  </si>
  <si>
    <t>3417 1/55</t>
  </si>
  <si>
    <t>เครื่องกัดขนาดเล็ก</t>
  </si>
  <si>
    <t>10000-0217</t>
  </si>
  <si>
    <t>3433 1/54</t>
  </si>
  <si>
    <t>เครื่องพิมพ์สำเนาระบบดิจิตอล ความละเอียด 400 x 400 จุดต่อตารางนิ้ว</t>
  </si>
  <si>
    <t>ชุดเชื่อมเเก๊สออกซิเจนเเละเเก๊สปิโตรเลียมเหลว</t>
  </si>
  <si>
    <t>เครื่ื่อง</t>
  </si>
  <si>
    <t>10000-0082</t>
  </si>
  <si>
    <t>เครื่องมัลติมีเดียโปรเจคเตอร์ ระดับ SVGA ขนาด 3,000 ANSI Lumens</t>
  </si>
  <si>
    <t>10000-0083</t>
  </si>
  <si>
    <t>เครื่องมัลติมีเดียโปรเจคเตอร์ ระดับ XGA ขนาด 2,500 ANSI Lumens</t>
  </si>
  <si>
    <t>3433 1/53</t>
  </si>
  <si>
    <t>ชุดเชื่อมเเละตัดโลหะด้วยเเก๊สออกซิเจนเเละอะเซทีลีน</t>
  </si>
  <si>
    <t>10000-0084</t>
  </si>
  <si>
    <t>เครื่องมัลติมีเดียโปรเจคเตอร์ ระดับ XGA ขนาด 3,000 ANSI Lumens</t>
  </si>
  <si>
    <t>10000-0085</t>
  </si>
  <si>
    <t>เครื่องมัลติมีเดียโปรเจคเตอร์ ระดับ XGA ขนาด 3,500 ANSI Lumens</t>
  </si>
  <si>
    <t>3442 1/58</t>
  </si>
  <si>
    <t>เครื่องอัดขยะก้อนด้วยระบบไฮโดรลิก</t>
  </si>
  <si>
    <t>10000-0086</t>
  </si>
  <si>
    <t>เครื่องมัลติมีเดียโปรเจคเตอร์ ระดับ XGA ขนาด 4,000 ANSI Lumens</t>
  </si>
  <si>
    <t>10000-0087</t>
  </si>
  <si>
    <t>เครื่องมัลติมีเดียโปรเจคเตอร์ ระดับ XGA ขนาด 4,500 ANSI Lumens</t>
  </si>
  <si>
    <t>10000-0132</t>
  </si>
  <si>
    <t>เครื่องรับส่งวิทยุ ระบบ VHF/FM ชนิดติดรถยนต์ 25 วัตต์</t>
  </si>
  <si>
    <t>10000-0130</t>
  </si>
  <si>
    <t>เครื่องรับส่งวิทยุ ระบบ VHF/FM ชนิดประจำที่ ขนาด 10 วัตต์</t>
  </si>
  <si>
    <t>3750 1/61</t>
  </si>
  <si>
    <t>10000-0131</t>
  </si>
  <si>
    <t>เครื่องรับส่งวิทยุ ระบบ VHF/FM ชนิดประจำที่ ขนาด 40 วัตต์</t>
  </si>
  <si>
    <t>10000-0129</t>
  </si>
  <si>
    <t>เครื่องรับส่งวิทยุ ระบบ VHF/FM ชนิดมือถือ  5 วัตต์</t>
  </si>
  <si>
    <t>10000-0193</t>
  </si>
  <si>
    <t>เครื่องลอกบัว แบบมือถือ ขนาด 12 มิลลิเมตร</t>
  </si>
  <si>
    <t>10000-0059</t>
  </si>
  <si>
    <t>เครื่องวัดความดันโลหิต แบบตั้งพื้น</t>
  </si>
  <si>
    <t>3750 2/53</t>
  </si>
  <si>
    <t>10000-0060</t>
  </si>
  <si>
    <t>เครื่องวัดความดันโลหิต แบบสอดแขนชนิดอัตโนมัติ</t>
  </si>
  <si>
    <t>10000-0281</t>
  </si>
  <si>
    <t>เครื่องวัดความเป็น กรด-ด่าง แบบตั้งโต๊ะ</t>
  </si>
  <si>
    <t>10000-0261</t>
  </si>
  <si>
    <t>เครื่องสแกนลายนิ้วมือ ชนิดบันทึกเวลาเข้าออกงาน</t>
  </si>
  <si>
    <t>3750 3/53</t>
  </si>
  <si>
    <t>10000-0273</t>
  </si>
  <si>
    <t>เครื่องหาพิกัดด้วยสัญญาณดาวเทียมแบบพกพา</t>
  </si>
  <si>
    <t>3750 1/53</t>
  </si>
  <si>
    <t>10000-0275</t>
  </si>
  <si>
    <t>3442 1/53</t>
  </si>
  <si>
    <t>ชุดเหล็กดูดแบบไฮดรอลิค ขนาด 50 ตัน</t>
  </si>
  <si>
    <t>10000-0127</t>
  </si>
  <si>
    <t>เครื่องอบผ้า ขนาด 100 ปอนด์</t>
  </si>
  <si>
    <t>3750 1/58</t>
  </si>
  <si>
    <t>เครื่องหั่นย่อยไม้สดขนาด 16 แรงม้า</t>
  </si>
  <si>
    <t>10000-0128</t>
  </si>
  <si>
    <t>เครื่องอบผ้า ขนาด 200 ปอนด์</t>
  </si>
  <si>
    <t>10000-0126</t>
  </si>
  <si>
    <t>เครื่องอบผ้า ขนาด 50 ปอนด์</t>
  </si>
  <si>
    <t>3750 1/55</t>
  </si>
  <si>
    <t>ชุดเครื่องพ่วงตัดหญ้าไหล่ทาง</t>
  </si>
  <si>
    <t>10000-0019</t>
  </si>
  <si>
    <t>เครื่องอัดอากาศ ขนาด 300 ลิตรต่อนาที</t>
  </si>
  <si>
    <t>10000-0076</t>
  </si>
  <si>
    <t>จอรับภาพ ชนิด มอเตอร์ไฟฟ้า ขนาดเส้นทแยงมุม 100 นิ้ว</t>
  </si>
  <si>
    <t>จอ</t>
  </si>
  <si>
    <t>10000-0077</t>
  </si>
  <si>
    <t>จอรับภาพ ชนิด มอเตอร์ไฟฟ้า ขนาดเส้นทแยงมุม 120 นิ้ว</t>
  </si>
  <si>
    <t>10000-0078</t>
  </si>
  <si>
    <t>จอรับภาพ ชนิด มอเตอร์ไฟฟ้า ขนาดเส้นทแยงมุม 150 นิ้ว</t>
  </si>
  <si>
    <t>10000-0079</t>
  </si>
  <si>
    <t>จอรับภาพ ชนิด มอเตอร์ไฟฟ้า  ขนาดเส้นทแยงมุม 180 นิ้ว</t>
  </si>
  <si>
    <t>10000-0080</t>
  </si>
  <si>
    <t>จอรับภาพ ชนิด มอเตอร์ไฟฟ้า  ขนาดเส้นทแยงมุม 200 นิ้ว</t>
  </si>
  <si>
    <t>3805 1/60</t>
  </si>
  <si>
    <t xml:space="preserve">รถขุดตีนตะขาบ ขนาดไม่น้อยกว่า 20 กิโลวัตต์ </t>
  </si>
  <si>
    <t>10000-0064</t>
  </si>
  <si>
    <t>จักรทำลวดลาย</t>
  </si>
  <si>
    <t>10000-0065</t>
  </si>
  <si>
    <t>จักรพันริม แบบธรรมดา</t>
  </si>
  <si>
    <t>10000-0066</t>
  </si>
  <si>
    <t>จักรพันริม แบบอุตสาหกรรม</t>
  </si>
  <si>
    <t>10000-0067</t>
  </si>
  <si>
    <t>จักรอุตสาหกรรม แบบเย็บผ้า</t>
  </si>
  <si>
    <t>3805 2/57</t>
  </si>
  <si>
    <t>รถขุดล้อยาง</t>
  </si>
  <si>
    <t>10000-0068</t>
  </si>
  <si>
    <t>จักรอุตสาหกรรม แบบเย็บหนัง</t>
  </si>
  <si>
    <t>10000-0063</t>
  </si>
  <si>
    <t>ชุดทนัตกรรมเคลื่อนที่พร้อมเก้าอี้สนามและโคมไฟ</t>
  </si>
  <si>
    <t>10000-0105</t>
  </si>
  <si>
    <t>ตู้แช่อาหาร ขนาด 20 คิวบิก ฟุต</t>
  </si>
  <si>
    <t>ตู้</t>
  </si>
  <si>
    <t>3805 1/59</t>
  </si>
  <si>
    <t>รถตักล้อยาง ขนาด 150 แรงม้า</t>
  </si>
  <si>
    <t>10000-0106</t>
  </si>
  <si>
    <t>ตู้แช่อาหารขนาด 32 คิวบิก ฟุต</t>
  </si>
  <si>
    <t>10000-0107</t>
  </si>
  <si>
    <t>ตู้แช่อาหาร ขนาด 45 คิวบิก ฟุต</t>
  </si>
  <si>
    <t>3805 1/62</t>
  </si>
  <si>
    <t>รถตักหน้าขุดหลัง ขนาดไม่ต่ำกว่า 90 แรงม้า</t>
  </si>
  <si>
    <t>คััน</t>
  </si>
  <si>
    <t>10000-0103</t>
  </si>
  <si>
    <t>ตู้เย็น ขนาด 13 คิวบิก ฟุต</t>
  </si>
  <si>
    <t>10000-0104</t>
  </si>
  <si>
    <t>ตู้เย็น ขนาด 16 คิวบิก ฟุต</t>
  </si>
  <si>
    <t>กวก.ฯ</t>
  </si>
  <si>
    <t>10000-0100</t>
  </si>
  <si>
    <t>ตู้เย็น ขนาด  5 คิวบิก ฟุต</t>
  </si>
  <si>
    <t>3820 2/61</t>
  </si>
  <si>
    <t>เครื่องเจาะเก็บตัวอย่างผิวพื้นงานการทาง</t>
  </si>
  <si>
    <t>10000-0101</t>
  </si>
  <si>
    <t>ตู้เย็น ขนาด  7 คิวบิก ฟุต</t>
  </si>
  <si>
    <t>3820-35-681-1728</t>
  </si>
  <si>
    <t>10000-0102</t>
  </si>
  <si>
    <t>ตู้เย็น ขนาด  9 คิวบิก ฟุต</t>
  </si>
  <si>
    <t>3805 1/56</t>
  </si>
  <si>
    <t>รถขุดพร้อมทุ่นลอย</t>
  </si>
  <si>
    <t>ผตค.</t>
  </si>
  <si>
    <t>10000-0265</t>
  </si>
  <si>
    <t>ตู้ล็อกเกอร์ 18 ช่อง</t>
  </si>
  <si>
    <t>3820 1/61</t>
  </si>
  <si>
    <t>เครื่องเจาะสกัดโครงสร้างชั้นฐานของทางวิ่ง ทางขับ และลานจอดของสนามบิน</t>
  </si>
  <si>
    <t>10000-0263</t>
  </si>
  <si>
    <t>3820-35-681-1729</t>
  </si>
  <si>
    <t>ตู้เหล็กแบบ 2 บาน</t>
  </si>
  <si>
    <t>3820 2/55</t>
  </si>
  <si>
    <t>เครื่อง CORING CONCRETE</t>
  </si>
  <si>
    <t>3805 2/56</t>
  </si>
  <si>
    <t>รถขุดล้อยาง ( WHEEL EXCAVATOR )</t>
  </si>
  <si>
    <t>10000-0264</t>
  </si>
  <si>
    <t>ตู้เหล็กแบบ 4 ลิ้นชัก</t>
  </si>
  <si>
    <t>3820-35-681-1727</t>
  </si>
  <si>
    <t>10000-0055</t>
  </si>
  <si>
    <t>ตู้อบเด็ก</t>
  </si>
  <si>
    <t>3825 2/53</t>
  </si>
  <si>
    <t>10000-0118</t>
  </si>
  <si>
    <t>เครื่องพ่นสีจราจรธรรมดาเเบบสามารถโรยลูกเเก้วสะท้อนเเสงจากตัวเครื่องได้</t>
  </si>
  <si>
    <t>เตาแก๊ส</t>
  </si>
  <si>
    <t>เตา</t>
  </si>
  <si>
    <t>3805 2/52</t>
  </si>
  <si>
    <t>10000-0119</t>
  </si>
  <si>
    <t>เตาอบไมโครเวฟ</t>
  </si>
  <si>
    <t>10000-0047</t>
  </si>
  <si>
    <t>เตียงตรวจภายใน</t>
  </si>
  <si>
    <t>เตียง</t>
  </si>
  <si>
    <t>ชย.ทอ. 1/59</t>
  </si>
  <si>
    <t>รถกวาดดูดฝุ่นสนามบิน</t>
  </si>
  <si>
    <t>3825-35-681-1721</t>
  </si>
  <si>
    <t>10000-0048</t>
  </si>
  <si>
    <t>เตียงทำคลอด</t>
  </si>
  <si>
    <t>3825 2/56</t>
  </si>
  <si>
    <t>รถกวาดถนน ชนิดลากจูง</t>
  </si>
  <si>
    <t>10000-0046</t>
  </si>
  <si>
    <t>เตียงเฟาว์เลอร์ ชนิดไฟฟ้า</t>
  </si>
  <si>
    <t>3805 1/61</t>
  </si>
  <si>
    <t>รถตักหน้าขุดหลัง ขนาดไม่น้อยกว่า 90 แรงม้า</t>
  </si>
  <si>
    <t>10000-0044</t>
  </si>
  <si>
    <t>เตียงเฟาว์เลอร์ ชนิดมือหมุน แบบ ก</t>
  </si>
  <si>
    <t>10000-0045</t>
  </si>
  <si>
    <t>เตียงเฟาว์เลอร์ ชนิดมือหมุน แบบ ข</t>
  </si>
  <si>
    <t>10000-0262</t>
  </si>
  <si>
    <t>โต๊ะหมู่บูชา</t>
  </si>
  <si>
    <t>3825 1/54</t>
  </si>
  <si>
    <t>รถรดน้ำต้นไม้ ขนาดบรรจุ 6,000 ลิตร</t>
  </si>
  <si>
    <t>10000-0255</t>
  </si>
  <si>
    <t xml:space="preserve"> ถังน้ำแบบพลาสติก ขนาดความจุ 2,000 ลิตร</t>
  </si>
  <si>
    <t>ใบ</t>
  </si>
  <si>
    <t>3895 1/55</t>
  </si>
  <si>
    <t>เครื่องทำอิฐบล็อกประสาน</t>
  </si>
  <si>
    <t>10000-0251</t>
  </si>
  <si>
    <t>ถังน้ำแบบไฟเบอร์กลาสขนาดความจุ 1,000 ลิตร</t>
  </si>
  <si>
    <t>10000-0252</t>
  </si>
  <si>
    <t>ถังน้ำแบบไฟเบอร์กลาสขนาดความจุ 1,500 ลิตร</t>
  </si>
  <si>
    <t>10000-0253</t>
  </si>
  <si>
    <t>ถังน้ำแบบไฟเบอร์กลาสขนาดความจุ 2,000 ลิตร</t>
  </si>
  <si>
    <t>10000-0254</t>
  </si>
  <si>
    <t>ถังน้ำแบบไฟเบอร์กลาสขนาดความจุ 2,500 ลิตร</t>
  </si>
  <si>
    <t>10000-0256</t>
  </si>
  <si>
    <t>ถังน้ำแบบสเตนเลสขนาดความจุ 1,000 ลิตร</t>
  </si>
  <si>
    <t>10000-0257</t>
  </si>
  <si>
    <t>ถังน้ำแบบสเตนเลสขนาดความจุ 1,500 ลิตร</t>
  </si>
  <si>
    <t>10000-0258</t>
  </si>
  <si>
    <t>ถังน้ำแบบสเตนเลสขนาดความจุ 2,000 ลิตร</t>
  </si>
  <si>
    <t>3930 3/58</t>
  </si>
  <si>
    <t>รถกระเช้าเลื่อนไฟฟ้าปรับระดับขึ้นที่สูงแนวดิ่ง (ELECTRIC SCISSOR LIFTS)</t>
  </si>
  <si>
    <t>10000-0259</t>
  </si>
  <si>
    <t>ถังน้ำแบบสเตนเลสขนาดความจุ 2,500 ลิตร</t>
  </si>
  <si>
    <t>10000-0096</t>
  </si>
  <si>
    <t>โทรทัศน์ แอลอีดี (LED TV) แบบ Smart TV ระดับความละเอียดจอภาพ 1366 x 768 พิกเซล ขนาด 32 นิ้ว</t>
  </si>
  <si>
    <t>10000-0097</t>
  </si>
  <si>
    <t>โทรทัศน์ แอลอีดี (LED TV) แบบ Smart TV ระดับความละเอียดจอภาพ 1920 x 1080 พิกเซล ขนาด 40 นิ้ว</t>
  </si>
  <si>
    <t>3930 2/57</t>
  </si>
  <si>
    <t>รถขนวัสดุชนิดกระดกเทขับเคลื่อนด้วยตัวเอง</t>
  </si>
  <si>
    <t>3825 1/53</t>
  </si>
  <si>
    <t>10000-0098</t>
  </si>
  <si>
    <t xml:space="preserve">รถพรมน้ำ ขนาดบรรจุ 2,000 ลิตร </t>
  </si>
  <si>
    <t>โทรทัศน์ แอลอีดี (LED TV) แบบ Smart TV ระดับความละเอียดจอภาพ 1920 x 1080 พิกเซล ขนาด 48 นิ้ว</t>
  </si>
  <si>
    <t>10000-0099</t>
  </si>
  <si>
    <t>โทรทัศน์ แอลอีดี (LED TV) แบบ Smart TV ระดับความละเอียดจอภาพ 1920 x 1080 พิกเซล ขนาด 55 นิ้ว</t>
  </si>
  <si>
    <t>3930 1/60</t>
  </si>
  <si>
    <t>รถยกงาแซะ ขนาดไม่น้อยกว่า 10,000 ปอนด์</t>
  </si>
  <si>
    <t>รถรดน้ำต้นไม้</t>
  </si>
  <si>
    <t>10000-0090</t>
  </si>
  <si>
    <t>โทรทัศน์ แอลอีดี (LED TV) ระดับความละเอียดจอภาพ 1366 x 768 พิกเซล ขนาด 32 นิ้ว</t>
  </si>
  <si>
    <t>3930 1/59</t>
  </si>
  <si>
    <t>10000-0091</t>
  </si>
  <si>
    <t>รถยกงาแซะขนาด ไม่น้อยกว่า 4,000 ปอนด์</t>
  </si>
  <si>
    <t>โทรทัศน์ แอลอีดี (LED TV)  ระดับความละเอียดจอภาพ 1920 x 1080 พิกเซล ขนาด 32 นิ้ว</t>
  </si>
  <si>
    <t>10000-0092</t>
  </si>
  <si>
    <t>โทรทัศน์ แอลอีดี (LED TV)  ระดับความละเอียดจอภาพ 1920 x 1080 พิกเซล ขนาด 40 นิ้ว</t>
  </si>
  <si>
    <t>10000-0093</t>
  </si>
  <si>
    <t>3930 1/57</t>
  </si>
  <si>
    <t>รถยกงาแซะ ขนาดไม่น้อยกว่า 6,000 ปอนด์</t>
  </si>
  <si>
    <t>โทรทัศน์ แอลอีดี (LED TV)  ระดับความละเอียดจอภาพ 1920 x 1080 พิกเซล ขนาด 48 นิ้ว</t>
  </si>
  <si>
    <t>3895 1/53</t>
  </si>
  <si>
    <t>เครื่องกระทุ้งดินแบบกระโดดเครื่องยนต์เบนซิน 4 จังหวะ</t>
  </si>
  <si>
    <t>10000-0094</t>
  </si>
  <si>
    <t>โทรทัศน์ แอลอีดี (LED TV)  ระดับความละเอียดจอภาพ 1920 x 1080 พิกเซล ขนาด 50 นิ้ว</t>
  </si>
  <si>
    <t>3895 1/57</t>
  </si>
  <si>
    <t xml:space="preserve">เครื่องตบดิน </t>
  </si>
  <si>
    <t>10000-0095</t>
  </si>
  <si>
    <t>โทรทัศน์ แอลอีดี (LED TV)  ระดับความละเอียดจอภาพ 1920 x 1080 พิกเซล ขนาด 55 นิ้ว</t>
  </si>
  <si>
    <t>3930 1/58</t>
  </si>
  <si>
    <t>รถยกงาหนีบ ขนาดไม่น้อยกว่า 4,000 ปอนด์</t>
  </si>
  <si>
    <t>10000-0061</t>
  </si>
  <si>
    <t>ยูนิตทำฟัน</t>
  </si>
  <si>
    <t>3895 2/53</t>
  </si>
  <si>
    <t>เครื่องตัดคอนกรีต</t>
  </si>
  <si>
    <t>10000-0050</t>
  </si>
  <si>
    <t>3930 2/54</t>
  </si>
  <si>
    <t>รถเข็นชนิดนอน</t>
  </si>
  <si>
    <t>รถยกงาเเซะระบบไฟฟ้า ขนาด 1,000 กิโลกรัม</t>
  </si>
  <si>
    <t>10000-0049</t>
  </si>
  <si>
    <t>รถเข็นชนิดนั่ง</t>
  </si>
  <si>
    <t>10000-0051</t>
  </si>
  <si>
    <t>รถเข็นทำแผล</t>
  </si>
  <si>
    <t>3930 2/62</t>
  </si>
  <si>
    <t>รถยกระบบไฟฟ้าแบบเดินตาม ขนาด 1,500 กิโลกรัม</t>
  </si>
  <si>
    <t>10000-0053</t>
  </si>
  <si>
    <t>รถเข็นผ้าเปลื้อน</t>
  </si>
  <si>
    <t>3895 1/56</t>
  </si>
  <si>
    <t>เครื่องปูแอสฟัลท์ติคคอนกรีต แบบตีนตะขาบ</t>
  </si>
  <si>
    <t>10000-0052</t>
  </si>
  <si>
    <t>รถเข็นอาหาร</t>
  </si>
  <si>
    <t>3930 2/55</t>
  </si>
  <si>
    <t>รถยกระบบไฟฟ้า แบบนั่งขับ ขนาด 1,500 กิโลกรัม</t>
  </si>
  <si>
    <t>10000-0173</t>
  </si>
  <si>
    <t>รถจักรยานยนต์ ขนาด 110 ซีซี แบบเกียร์ธรรมดา</t>
  </si>
  <si>
    <t>3930 2/58</t>
  </si>
  <si>
    <t>รถยกระบบไฟฟ้าแบบยืนขับ ขนาด 1,500 กิโลกรัม ยกพัสดุได้สูงไม่น้อยกว่า 6 เมตร</t>
  </si>
  <si>
    <t>10000-0174</t>
  </si>
  <si>
    <t>รถจักรยานยนต์ ขนาด 110 ซีซี แบบเกียร์อัตโนมัติ</t>
  </si>
  <si>
    <t>3940 1/53</t>
  </si>
  <si>
    <t>รอกขนาด 1 ตัน</t>
  </si>
  <si>
    <t>10000-0175</t>
  </si>
  <si>
    <t>รถจักรยานยนต์ ขนาด 120 ซีซี</t>
  </si>
  <si>
    <t>10000-0176</t>
  </si>
  <si>
    <t>รถจักรยานยนต์ ขนาด 150 ซีซี</t>
  </si>
  <si>
    <t>3940 1/58</t>
  </si>
  <si>
    <t>รอกขนาด 3 ตัน</t>
  </si>
  <si>
    <t>10000-0177</t>
  </si>
  <si>
    <t>รถจักรยานยนต์ ขนาด 250 ซีซี</t>
  </si>
  <si>
    <t>3940 1/55</t>
  </si>
  <si>
    <t>10000-0024</t>
  </si>
  <si>
    <t>รอกดึงสาย ( CABLE RATCHET PULLING SET ) ขนาด 2 ตัน</t>
  </si>
  <si>
    <t>รถไถ ขนาด 10 แรงม้า</t>
  </si>
  <si>
    <t>10000-0023</t>
  </si>
  <si>
    <t>รถไถ ขนาด  8 แรงม้า</t>
  </si>
  <si>
    <t>3940 2/55</t>
  </si>
  <si>
    <t>รอกไฟฟ้า ขนาด 3 ตัน</t>
  </si>
  <si>
    <t>ตััว</t>
  </si>
  <si>
    <t>10000-0148</t>
  </si>
  <si>
    <t>รถบรรทุก  (ดีเซล) ขนาด 1 ตัน ปริมาตรกระบอกสูบไม่ต่ำกว่า 2,000 ซีซี หรือกำลังเครื่องยนต์สูงสุด ไม่ต่ำกว่า 90 กิโลวัตต์ ขับเคลื่อน 2 ล้อ แบบดับเบิ้ล แค็บ</t>
  </si>
  <si>
    <t>10000-0147</t>
  </si>
  <si>
    <t>รถบรรทุก  (ดีเซล) ขนาด 1 ตัน ปริมาตรกระบอกสูบไม่ต่ำกว่า 2,000 ซีซี หรือกำลังเครื่องยนต์สูงสุด ไม่ต่ำกว่า 90 กิโลวัตต์ ขับเคลื่อน 2 ล้อ แบบมีช่องว่างด้านหลังคนขับ (Cab)</t>
  </si>
  <si>
    <t>3950 1/58</t>
  </si>
  <si>
    <t>เครนพับติดตั้งพื้นขนาด 6,000 กิโลกรัม</t>
  </si>
  <si>
    <t>10000-0151</t>
  </si>
  <si>
    <t>รถบรรทุก  (ดีเซล) ขนาด 1 ตัน ปริมาตรกระบอกสูบไม่ต่ำกว่า 2,400 ซีซี หรือก้าลังเครื่องยนต์สูงสุด ไม่ต่ำกว่า 110 กิโลวัตต์ ขับเคลื่อน 2 ล้อ แบบดับเบิ้ล แค็บ</t>
  </si>
  <si>
    <t>3950-35-681-1999</t>
  </si>
  <si>
    <t>10000-0149</t>
  </si>
  <si>
    <t>ผวร.</t>
  </si>
  <si>
    <t>รถบรรทุก  (ดีเซล) ขนาด 1 ตัน ปริมาตรกระบอกสูบไม่ต่ำกว่า 2,400 ซีซี หรือก้าลังเครื่องยนต์สูงสุด ไม่ต่ำกว่า 110 กิโลวัตต์ ขับเคลื่อน 2 ล้อ แบบธรรมดา</t>
  </si>
  <si>
    <t>3960 2/59</t>
  </si>
  <si>
    <t>รถกระเช้าเลื่อนไฟฟ้าปรับระดับขึ้นที่สูงแนวดิ่ง (ELECTRIC SCISSOR LIFTS) ไม่น้อยกว่า 5 เมตร</t>
  </si>
  <si>
    <t>10000-0150</t>
  </si>
  <si>
    <t>รถบรรทุก  (ดีเซล) ขนาด 1 ตัน ปริมาตรกระบอกสูบไม่ต่ำกว่า 2,400 ซีซี หรือก้าลังเครื่องยนต์สูงสุด ไม่ต่ำกว่า 110 กิโลวัตต์ ขับเคลื่อน 2 ล้อ แบบมีช่องว่างด้านหลังคนขับ (Cab)</t>
  </si>
  <si>
    <t>10000-0153</t>
  </si>
  <si>
    <t>รถบรรทุก  (ดีเซล) ขนาด 1 ตัน ปริมาตรกระบอกสูบไม่ต่ำกว่า 2,400 ซีซี หรือกำลังเครื่องยนต์สูงสุด ไม่ต่ำกว่า 110 กิโลวัตต์ ขับเคลื่อน 4 ล้อ แบบดับเบลิ้ แค็บ</t>
  </si>
  <si>
    <t>10000-0152</t>
  </si>
  <si>
    <t>รถบรรทุก  (ดีเซล) ขนาด 1 ตัน ปริมาตรกระบอกสูบไม่ต่ำกว่า 2,400 ซีซี หรือกำลังเครื่องยนต์สูงสุด ไม่ต่ำกว่า 110 กิโลวัตต์ ขับเคลื่อน 4 ล้อ แบบมีช่องว่างด้านหลังคนขับ (Cab)</t>
  </si>
  <si>
    <t>4120 5/55</t>
  </si>
  <si>
    <t>เครื่องปรับอากาศ(เครื่องทำน้ำเย็น) ขนาดไม่น้อยกว่า 100 ตัน</t>
  </si>
  <si>
    <t>10000-0156</t>
  </si>
  <si>
    <t>รถบรรทุก  (ดีเซล) ขนาด 2 ตัน ปริมาตรกระบอกสูบไม่ต่ำกว่า 2,700 ซีซี หรือก้าลังเครื่องยนต์สูงสุด ไม่ต่้ากว่า 75 กิโลวัตต์ แบบ 4 ล้อ</t>
  </si>
  <si>
    <t>หลัง</t>
  </si>
  <si>
    <t>3930 1/55</t>
  </si>
  <si>
    <t>10000-0157</t>
  </si>
  <si>
    <t>รถบรรทุก  (ดีเซล) ขนาด 3 ตัน 6 ล้อ ปริมาตรกระบอกสูบ ไม่ต่ำกว่า 3,000 ซีซี หรือกำลังเครื่องยนต์สูงสุด ไม่ต่้ากว่า 80 กิโลวัตต์</t>
  </si>
  <si>
    <t>4120 2/60</t>
  </si>
  <si>
    <t>เครื่องปรับอากาศ (เครื่องทำน้ำเย็น) ขนาดไม่น้อยกว่า 600 ตัน</t>
  </si>
  <si>
    <t>4120-35-681-6439</t>
  </si>
  <si>
    <t>10000-0158</t>
  </si>
  <si>
    <t>รถบรรทุก  (ดีเซล) ขนาด 3 ตัน 6 ล้อ ปริมาตรกระบอกสูบ ไม่ต่ำกว่า 4,000 ซีซี หรือกำลังเครื่องยนต์สูงสุด ไม่ต่ำกว่า 105 กิโลวัตต์</t>
  </si>
  <si>
    <t>4120 4/55</t>
  </si>
  <si>
    <t>10000-0160</t>
  </si>
  <si>
    <t>เครื่องปรับอากาศ (เครื่องทำน้ำเย็น) ขนาดไม่น้อยกว่า 60 ตัน</t>
  </si>
  <si>
    <t>รถบรรทุก  (ดีเซล) ขนาด 6 ตัน 6 ล้อ ปริมาตรกระบอกสูบ ไม่ต่ำกว่า 6,000 ซีซี หรือกำลังเครื่องยนต์สูงสุด ไม่ต่ำกว่า 170 กิโลวัตต์ แบบกระบะเททา้ ย</t>
  </si>
  <si>
    <t>10000-0159</t>
  </si>
  <si>
    <t>รถบรรทุก  (ดีเซล) ขนาด 6 ตัน 6 ล้อ ปริมาตรกระบอกสูบ ไม่ต่ำกว่า 6,000 ซีซี หรือกำลังเครื่องยนต์สูงสุด ไม่ต่ำกว่า 170 กิโลวัตต์ แบบกระบะเหล็ก</t>
  </si>
  <si>
    <t>4120 2/61</t>
  </si>
  <si>
    <t>เครื่องปรับอากาศแบบควบคุมอุณหภูมิและความชื้น (PRECISION AIR) ขนาดทำความเย็นไม่น้อยกว่า 18 กิโลวัตต์ต่อชั่วโมง</t>
  </si>
  <si>
    <t>10000-0161</t>
  </si>
  <si>
    <t>รถบรรทุก  (ดีเซล) ขนาด 6 ตัน 6 ล้อ ปริมาตรกระบอกสูบ ไม่ต่ำกว่า 6,000 ซีซี หรือกำลังเครื่องยนต์สูงสุด ไม่ต่ำกว่า 170 กิโลวัตต์ แบบบรรทกุ น้้า</t>
  </si>
  <si>
    <t>10000-0155</t>
  </si>
  <si>
    <t>รถบรรทุก  (ดีเซล) หลังคารถบรรทกุ  ขนาด 1 ตัน หลังคาไฟเบอร์กลาสหรือเหล็ก</t>
  </si>
  <si>
    <t>4120  2/59</t>
  </si>
  <si>
    <t>เครื่องปรับอากาศแบบควบคุมอุณหภูมิและความชื้น (PRECISION AIR) ขนาดทำความเย็นไม่น้อยกว่า 36 กิโลวัตต์ต่อชั่วโมง</t>
  </si>
  <si>
    <t>10000-0154</t>
  </si>
  <si>
    <t>รถบรรทุก  (ดีเซล) หลังคารถบรรทกุ  ขนาด 1 ตัน หลังคาอลูมิเนียม</t>
  </si>
  <si>
    <t>10000-0180</t>
  </si>
  <si>
    <t>รถประจำตำแหน่ง ระดับปลัดกระทรวง เลขาธิการนายกรัฐมนตรี หรือผู้ดำรงตำแหน่งอื่นที่มีฐานะเทียบเท่า
ปริมาตรกระบอกสูบไม่เกิน 2,500 ซีซี หรือ กำลังเครื่องยนต์สูงสุดไม่เกิน 160 กิโลวัตต์</t>
  </si>
  <si>
    <t>4120 9/58</t>
  </si>
  <si>
    <t>รอกมือ ขนาด 1 ตัน</t>
  </si>
  <si>
    <t>เครื่องปรับอากาศแบบแยกส่วนขนาดทำความเย็นไม่น้อยกว่า 120,000 บีทียู</t>
  </si>
  <si>
    <t>10000-0182</t>
  </si>
  <si>
    <t>รถประจำตำแหน่ง ระดับรองนายกรัฐมนตรี รองประธานรัฐสภา ผู้นำฝ่ายค้านในสภาผู้แทนราษฎร หรือผู้ด้ารงตำแหน่งอื่นที่มีฐานะเทียบเท่า
ปริมาตรกระบอกสูบไม่เกิน 3,000 ซีซี หรือ กำลังเครื่องยนต์สูงสุดไม่เกิน 180 กิโลวัตต์</t>
  </si>
  <si>
    <t>4120 1/60</t>
  </si>
  <si>
    <t>เครื่องปรับอากาศแบบแยกส่วนขนาดทำความเย็นไม่น้อยกว่า 200,000 บีทียู</t>
  </si>
  <si>
    <t>10000-0178</t>
  </si>
  <si>
    <t>รถประจำตำแหน่ง ระดับรองอธิบดี หรือผู้ด้ารงตำแหน่งอื่นที่มีฐานะเทียบเท่า 
ปริมาตรกระบอกสูบไม่เกิน 2,200 ซีซี หรือ กำลังเครื่องยนต์สูงสุดไม่เกิน 130 กิโลวัตต์</t>
  </si>
  <si>
    <t>3960 1/54</t>
  </si>
  <si>
    <t>กระเช้าเลื่อนไฟฟ้าปรับระดับขึ้นที่สูงเเนวดิ่ง (VERTICAL LIFT)</t>
  </si>
  <si>
    <t>4120 13/58</t>
  </si>
  <si>
    <t>เครื่องปรับอากาศแบบแยกส่วนขนาดทำความเย็นไม่น้อยกว่า 340,000 บีทียู</t>
  </si>
  <si>
    <t>10000-0181</t>
  </si>
  <si>
    <t>รถประจำตำแหน่ง ระดับรัฐมนตรีว่าการกระทรวง รัฐมนตรีประจำส้านักนายกรัฐมนตรี รัฐมนตรีช่วยว่าการกระทรวง รองประธานวุฒิสภา
 รองประธานสภาผู้แทนราษฎร หรือผู้ดำรงตำแหน่งอื่นที่มีฐานะเทียบเท่า 
ปริมาตรกระบอกสูบไม่เกิน 3,000 ซีซี หรือ กำลังเครื่องยนต์สูงสุดไม่เกิน 180 กิโลวัตต์</t>
  </si>
  <si>
    <t>10000-0179</t>
  </si>
  <si>
    <t>รถประจำตำแหน่ง ระดับอธิบดี รองปลัดกระทรวง เอกอัครราชทูตประจำกระทรวง ผู้ตรวจราชการระดับกระทรวง  รองเลขาธิการนายกรัฐมนตรีฝ่ายการเมือง เลขานุการรัฐมนตรี ผู้ช่วยเลขานุการรัฐมนตรี หรือผู้ดำรงตำแหน่งอื่นที่มีฐานะเทียบเท่า
ปริมาตรกระบอกสูบไม่เกิน 2,500 ซีซี หรือ กำลังเครื่องยนต์สูงสุดไม่เกิน 160 กิโลวัตต์</t>
  </si>
  <si>
    <t>4120 5/58</t>
  </si>
  <si>
    <t>เครื่องปรับอากาศแบบแยกส่วนขนาดทำความเย็นไม่น้อยกว่า 60,000 บีทียู</t>
  </si>
  <si>
    <t>3960 1/59</t>
  </si>
  <si>
    <t>บันไดเลื่อน ขนาดลูกขั้น 600 มิลลิเมตร</t>
  </si>
  <si>
    <t>10000-0172</t>
  </si>
  <si>
    <t>รถพยาบาลฉุกเฉิน (รถกระบะ) ปริมาตรกระบอกสูบ ไม่ต่ำกว่า 2,400 ซีซี หรือกำลังเครื่องยนต์สูงสุด ไม่ต่ำกว่า 110 กิโลวัตต์</t>
  </si>
  <si>
    <t>10000-0171</t>
  </si>
  <si>
    <t>4120 8/58</t>
  </si>
  <si>
    <t>เครื่องปรับอากาศแบบแยกส่วนขนาดทำความเย็นไม่น้อยกว่า 90,000 บีทียู</t>
  </si>
  <si>
    <t>รถพยาบาล (รถตู้) ปริมาตรกระบอกสูบ ไม่ต่ำกว่า 2,400 ซีซี หรือกำลังเครื่องยนต์สูงสุด ไม่ต่ำกว่า 90 กิโลวัตต์</t>
  </si>
  <si>
    <t>10000-0167</t>
  </si>
  <si>
    <t>รถยนต์ตรวจการณ์ ปริมาตรกระบอกสูบ ไม่ต่ำกว่า 2,000 ซีซี หรือกำลังเครื่องยนต์ สูงสุดไม่ต่ำกว่า 100 กิโลวัตต์ เครื่องยนต์เบนซิน แบบขับเคลื่อน 2 ล้อ</t>
  </si>
  <si>
    <t>4120 5/59</t>
  </si>
  <si>
    <t>เครื่องปรับอากาศแบบแยกส่วนชนิดตั้งพื้น ขนาด 60,000 บีทียู</t>
  </si>
  <si>
    <t>3960 4/59</t>
  </si>
  <si>
    <t>ลิฟต์โดยสาร ขนาด 1,000 กิโลกรัม สำหรับอาคาร 11 ชั้น</t>
  </si>
  <si>
    <t>10000-0168</t>
  </si>
  <si>
    <t>รถยนต์ตรวจการณ์ ปริมาตรกระบอกสูบ ไม่ต่ำกว่า 2,000 ซีซี หรือกำลังเครื่องยนต์ สูงสุดไม่ต่ำกว่า 100 กิโลวัตต์ เครื่องยนต์เบนซิน แบบขับเคลื่อน 4 ล้อ</t>
  </si>
  <si>
    <t>4120 15/58</t>
  </si>
  <si>
    <t>เครื่องปรับอากาศ แบบแยกส่วนชนิดตั้งพื้นหรือแขวน ขนาด 48,000 บีทียู</t>
  </si>
  <si>
    <t>3960 2/60</t>
  </si>
  <si>
    <t>10000-0169</t>
  </si>
  <si>
    <t>ลิฟต์โดยสาร ขนาด 630 กิโลกรัม</t>
  </si>
  <si>
    <t>รถยนต์ตรวจการณ์ ปริมาตรกระบอกสูบ ไม่ต่ำกว่า 2,000 ซีซี หรือกำลังเครื่องยนต์ สูงสุดไม่ต่ำกว่า 110 กิโลวัตต์ เครื่องยนต์ดีเซล แบบขับเคลื่อน 2 ล้อ</t>
  </si>
  <si>
    <t>4120 6/58</t>
  </si>
  <si>
    <t>เครื่องปรับอากาศแบบแยกส่วนชนิดตู้ตั้งพื้นขนาดทำความเย็นไม่น้อยกว่า  60,000 บีทียู</t>
  </si>
  <si>
    <t>10000-0170</t>
  </si>
  <si>
    <t>รถยนต์ตรวจการณ์ ปริมาตรกระบอกสูบ ไม่ต่ำกว่า 2,000 ซีซี หรือกำลังเครื่องยนต์ สูงสุดไม่ต่ำกว่า 110 กิโลวัตต์ เครื่องยนต์ดีเซล แบบขับเคลื่อน 4 ล้อ</t>
  </si>
  <si>
    <t>12-02-62  ขอปรับเปลี่ยนชื่อให้มีรายละเอียด</t>
  </si>
  <si>
    <t>3960 1/60</t>
  </si>
  <si>
    <t>ลิฟต์เตียงคนไข้ ขนาด 1,600 กิโลกรัม</t>
  </si>
  <si>
    <t>4120 3/58</t>
  </si>
  <si>
    <t>เครื่องปรับอากาศแบบแยกส่วนชนิดตั้งพื้นหรือชนิดแขวน 2 วงจรน้ำยาทำความเย็น ขนาด 36,000 บีทียู</t>
  </si>
  <si>
    <t>10000-0054</t>
  </si>
  <si>
    <t>หม้อต้มเครื่องมือ</t>
  </si>
  <si>
    <t>4120 4/59</t>
  </si>
  <si>
    <t>เครื่องปรับอากาศแบบแยกส่วนชนิดตั้งพื้นหรือชนิดแขวน ขนาด 44,000 บีทียู</t>
  </si>
  <si>
    <t>10000-0070</t>
  </si>
  <si>
    <t>หุ่นจำลองกล้ามเนื้อ สลับเพศได้ พร้อมอวัยวะภายใน แบบเต็มตัว</t>
  </si>
  <si>
    <t>10000-0069</t>
  </si>
  <si>
    <t>หุ่นจำลองโครงกระดูกมนษุย์ แบบเต็มตัว</t>
  </si>
  <si>
    <t>4120 1/58</t>
  </si>
  <si>
    <t>เครื่องปรับอากาศแบบแยกส่วนชนิดตั้งพื้นหรือชนิดแขวน ขนาด 50,000 บีทียู</t>
  </si>
  <si>
    <t>10000-0071</t>
  </si>
  <si>
    <t>หุ่นจำลองฝึกทำคลอดและฝึกตัดเย็บ พร้อมทำรกและอุปกรณ์ดันศีรษะเด็ก แบบครึ่งตัว</t>
  </si>
  <si>
    <t>10000-0072</t>
  </si>
  <si>
    <t>หุ่นจำลองฝึกทำคลอดและฝึกตัดเย็บ พร้อมทำรกและอุปกรณ์ดันศีรษะเด็ก แบบเต็มตัว</t>
  </si>
  <si>
    <t>4120 4/58</t>
  </si>
  <si>
    <t>เครื่องปรับอากาศแบบแยกส่วนชนิดตู้ตั้งพื้น ขนาด 36,000 บีทียู</t>
  </si>
  <si>
    <t>10000-0074</t>
  </si>
  <si>
    <t>หุ่นจำลองฝึกปฏิบัติการช่วยชีวิตขั้นสูงขนาดเต็มตัว แบบเด็ก</t>
  </si>
  <si>
    <t>4120 1/61</t>
  </si>
  <si>
    <t>เครื่องปรับอากาศแบบแยกส่วนชนิดตู้ตั้งพื้น ขนาด 44,000 บีทียู</t>
  </si>
  <si>
    <t>10000-0075</t>
  </si>
  <si>
    <t>หุ่นจำลองฝึกปฏิบัติการช่วยชีวิตขั้นสูงขนาดเต็มตัว แบบทารก</t>
  </si>
  <si>
    <t>10000-0073</t>
  </si>
  <si>
    <t>หุ่นจำลองฝึกปฏิบัติการช่วยชีวิตขั้นสูงขนาดเต็มตัว แบบผู้ใหญ่</t>
  </si>
  <si>
    <t>4120 2/62</t>
  </si>
  <si>
    <t>เครื่องปรับอากาศแบบแยกส่วนชนิดตู้ตั้งพื้น ขนาด 56,000 บีทียู</t>
  </si>
  <si>
    <t>เครื่องปรับอากาศแบบแยกส่วนชนิดตู้ตั้งพื้น ขนาด 60,000 บีทียู</t>
  </si>
  <si>
    <t>4120 1/62</t>
  </si>
  <si>
    <t>เครื่องปรับอากาศแบบแยกส่วนชนิดฝังฝ้าเพดาน ขนาด 48,000 บีทียู</t>
  </si>
  <si>
    <t>4120 10/58</t>
  </si>
  <si>
    <t>เครื่องปรับอากาศแบบเเยกส่วนชนิดตู้ตั้งพื้น ขนาด 120,000 บีทียู</t>
  </si>
  <si>
    <t>4120 11/58</t>
  </si>
  <si>
    <t>เครื่องปรับอากาศเเบบเเยกส่วนขนาดทำความเย็นไม่น้อยกว่า 180,000  บีทียู</t>
  </si>
  <si>
    <t>4120 12/58</t>
  </si>
  <si>
    <t>เครื่องปรับอากาศเเบบเเยกส่วนขนาดทำความเย็นไม่น้อยกว่า 240,000 บีทียู</t>
  </si>
  <si>
    <t>4120 14/59</t>
  </si>
  <si>
    <t>เครื่องปรับอากาศเเบบเเยกส่วนขนาดทำความเย็นไม่น้อยกว่า 480,000 บีทียู</t>
  </si>
  <si>
    <t>4140 2/52</t>
  </si>
  <si>
    <t>พัดลมเป่า ดูดอากาศใช้ในสถานที่อันตราย ไวไฟ พร้อมท่อลม</t>
  </si>
  <si>
    <t>4140 1/56</t>
  </si>
  <si>
    <t>พัดลมระบายอากาศ ขนาดไม่น้อยกว่า 5,000 ลูกบาศก์ฟุตต่อนาที</t>
  </si>
  <si>
    <t>6635-35-681-2625</t>
  </si>
  <si>
    <t>4140 1/58</t>
  </si>
  <si>
    <t>ม่านอากาศความยาว 90 เซนติเมตร ปริมาณลมไม่น้อยกว่า 930 ลูกบาศก์เมตรต่อชั่วโมง</t>
  </si>
  <si>
    <t>กดก.ฯ</t>
  </si>
  <si>
    <t>4210 2/62</t>
  </si>
  <si>
    <t>เครื่องดับเพลิงยกหิ้ว ชนิดสารเหลวระเหยประเภทสารสะอาด ขนาด 10 ปอนด์</t>
  </si>
  <si>
    <t>4210 3/62</t>
  </si>
  <si>
    <t>เครื่องดับเพลิงยกหิ้ว ชนิดสารเหลวระเหยประเภทสารสะอาด ขนาด 15 ปอนด์</t>
  </si>
  <si>
    <t>4210 1/60</t>
  </si>
  <si>
    <t>รถกู้ภัย-ช่วยชีวิต</t>
  </si>
  <si>
    <t>4120 1/59</t>
  </si>
  <si>
    <t>เครื่องปรับอากาศ แบบแยกส่วน แบบตั้งพื้นหรือแบบแขวน ขนาด 44,000 บีทียู</t>
  </si>
  <si>
    <t>4210 2/60</t>
  </si>
  <si>
    <t>รถควบคุมสั่งการดับเพลิง</t>
  </si>
  <si>
    <t>ชย.ทอ. 3/59</t>
  </si>
  <si>
    <t>รถดับเพลิงอากาศยาน</t>
  </si>
  <si>
    <t>ชย.ทอ. 2/59</t>
  </si>
  <si>
    <t>รถดับเพลิงอาคาร</t>
  </si>
  <si>
    <t>4210 5/62</t>
  </si>
  <si>
    <t>รถน้ำดับเพลิง</t>
  </si>
  <si>
    <t>4120 3/59</t>
  </si>
  <si>
    <t>เครื่องปรับอากาศ แบบแยกส่วน แบบตั้งพื้นหรือแบบแขวน ขนาด 50,000 บีทียู</t>
  </si>
  <si>
    <t>4210 5/58</t>
  </si>
  <si>
    <t>ระบบควบคุมและสั่งการ ชย.ทอ.</t>
  </si>
  <si>
    <t>ระบบ</t>
  </si>
  <si>
    <t>4210 6/62</t>
  </si>
  <si>
    <t xml:space="preserve">สายดับเพลิงแบบใยสังเคราะห์ ชนิดหุ้มยางภายนอกพร้อมข้อต่อ ขนาดเส้นผ่านศูนย์กลาง 1 1/2 นิ้ว </t>
  </si>
  <si>
    <t>เส้น</t>
  </si>
  <si>
    <t>4210 7/62</t>
  </si>
  <si>
    <t>สายดับเพลิงแบบใยสังเคราะห์ ชนิดหุ้มยางภายนอกพร้อมข้อต่อ ขนาดเส้นผ่านศูนย์กลาง 2 1/2 นิ้ว</t>
  </si>
  <si>
    <t>4210 5/54</t>
  </si>
  <si>
    <t>หัวฉีดดับเพลิงชนิดปรับได้ ขนาด 1 1/2 นิ้ว</t>
  </si>
  <si>
    <t>หัว</t>
  </si>
  <si>
    <t>ลำดับ</t>
  </si>
  <si>
    <t>4210 6/54</t>
  </si>
  <si>
    <t>หัวฉีดดับเพลิงชนิดปรับได้ ขนาด 2 1/2 นิ้ว</t>
  </si>
  <si>
    <t>4140 1/55</t>
  </si>
  <si>
    <t>4210 1/57</t>
  </si>
  <si>
    <t>หัวดับเพลิง (FIRE HYDRANT)</t>
  </si>
  <si>
    <t>4460 1/54</t>
  </si>
  <si>
    <t>เครื่องช่วยหายใจชนิดอัดอากาศบริสุทธิ์</t>
  </si>
  <si>
    <t>มีสเปคที่ใหม่กว่า คือ 4460 1/61</t>
  </si>
  <si>
    <t>4310 3/53</t>
  </si>
  <si>
    <t>4210  4/53</t>
  </si>
  <si>
    <t>เครื่องทำสุญญากาศ</t>
  </si>
  <si>
    <t>ยกเลิกเนื่องจากต้องการปรับปรุงคุณลักษณะเพิ่มเติม</t>
  </si>
  <si>
    <t>4210 4/54</t>
  </si>
  <si>
    <t>4210 7/54</t>
  </si>
  <si>
    <t>เครื่องดับเพลิงหมอกน้ำเเรงดันสูง ชนิดสะพายหลัง</t>
  </si>
  <si>
    <t>ล้าสมัย</t>
  </si>
  <si>
    <t>4140 1/54</t>
  </si>
  <si>
    <t>เครื่องเป่าลมเเละดูดควัน</t>
  </si>
  <si>
    <t>4210 3/53</t>
  </si>
  <si>
    <t>เครื่องสูบน้ำดับเพลิง ชนิดหาบหาม ขนาด 55 แรงม้า</t>
  </si>
  <si>
    <t>4210 5/59</t>
  </si>
  <si>
    <t>เครื่องสููบน้ำดับเพลิงชนิดหาบหาม ขนาด 55 แรงม้า</t>
  </si>
  <si>
    <t>4240 1/54</t>
  </si>
  <si>
    <t>ชุดเครื่องตัด - ถ่างอเนกประสงค์</t>
  </si>
  <si>
    <t>4310 1/62</t>
  </si>
  <si>
    <t>เครื่องบรรจุผงเคมี</t>
  </si>
  <si>
    <t>8415 1/59</t>
  </si>
  <si>
    <t>ชุดดับเพลิงอากาศยาน</t>
  </si>
  <si>
    <t>มีสเปคที่ใหม่กว่า คือ 8415 2/61</t>
  </si>
  <si>
    <t>8415 2/54</t>
  </si>
  <si>
    <t>8415 1/54</t>
  </si>
  <si>
    <t>ชุดดับเพลิงอาคาร</t>
  </si>
  <si>
    <t>มีสเปคที่ใหม่กว่า คือ 8415 1/61</t>
  </si>
  <si>
    <t>8415 1/60</t>
  </si>
  <si>
    <t>4240 2/52</t>
  </si>
  <si>
    <t>4310 1/54</t>
  </si>
  <si>
    <t>ไฟฉายครอบศรีษะสำหรับงานกู้ภัย</t>
  </si>
  <si>
    <t>เครื่องปั๊มลม ขนาด 1 เเรงม้า</t>
  </si>
  <si>
    <t>4210 4/59</t>
  </si>
  <si>
    <t>รถกู้ภัย - ช่วยชีวิต ระบบขับเคลื่อน 4 ล้อ (4x4)</t>
  </si>
  <si>
    <t xml:space="preserve">มีสเปคที่ใหม่กว่า คือ 4210 1/60 </t>
  </si>
  <si>
    <t>4210 1/58</t>
  </si>
  <si>
    <t>มีสเปคที่ใหม่กว่า คือ 4210 3/60</t>
  </si>
  <si>
    <t>4210 6/58</t>
  </si>
  <si>
    <t>มีสเปคที่ใหม่กว่า คือ ชย.ทอ. 2/59</t>
  </si>
  <si>
    <t>4210 2/55</t>
  </si>
  <si>
    <t>ต้องการปรับปรุงคุณลักษณะเพิ่มเติม</t>
  </si>
  <si>
    <t>4210 3/57</t>
  </si>
  <si>
    <t>ระบบควบคุมและสั่งการด้านการดับเพลิงและกู้ภัย</t>
  </si>
  <si>
    <t>4310 1/55</t>
  </si>
  <si>
    <t>เครื่องปั๊มลม ขนาด 2 เเรงม้า</t>
  </si>
  <si>
    <t>4210 5/53</t>
  </si>
  <si>
    <t>สายดับเพลิงแบบสายยางพร้อมข้อต่อ ขนาดเส้นผ่าศูนย์กลาง 2 1/2 นิ้ว</t>
  </si>
  <si>
    <t>4210 2/54</t>
  </si>
  <si>
    <t xml:space="preserve">หัวฉีดดับเพลิงชนิดปรับได้ ขนาด 1 1-2 นิ้ว </t>
  </si>
  <si>
    <t>มีสเปคที่ใหม่กว่า คือ 4210 5/54</t>
  </si>
  <si>
    <t>4210 3/54</t>
  </si>
  <si>
    <t>หัวฉีดดับเพลิงชนิดปรับได้ ขนาด 2 1-2 นิ้ว</t>
  </si>
  <si>
    <t>มีสเปคที่ใหม่กว่า คือ 4210 6/54</t>
  </si>
  <si>
    <t>3750 2/52</t>
  </si>
  <si>
    <t>มีสเปคที่ใหม่กว่า คือ 3750 1/61</t>
  </si>
  <si>
    <t>4310 2/53</t>
  </si>
  <si>
    <t>เครื่องอัดลม</t>
  </si>
  <si>
    <t>4320 10/57</t>
  </si>
  <si>
    <t>เครื่องสูบน้ำเครื่องยนต์เบนซิน ขนาด 1,100 ลิตรต่อนาที</t>
  </si>
  <si>
    <t>3825 1/58</t>
  </si>
  <si>
    <t>25-10-61 อยู่ระหว่างเปรียบเทียบคุณลักษณะกับปี 59</t>
  </si>
  <si>
    <t>6115 1/53</t>
  </si>
  <si>
    <t>เครื่องกำเนิดไฟฟ้า ขนาด 100 กิโลวัตต์</t>
  </si>
  <si>
    <t>มีสเปคที่ใหม่กว่า คือ 6115 2/60</t>
  </si>
  <si>
    <t>6115 1/59</t>
  </si>
  <si>
    <t>เครื่องกำเนิดไฟฟ้า ขนาด 50 กิโลวัตต์ พร้อมตู้ครอบเก็บเสียงชนิดลากจูง</t>
  </si>
  <si>
    <t>6115 1/55</t>
  </si>
  <si>
    <t>เครื่องกำเนิดไฟฟ้า ขนาด 5 กิโลวัตต์</t>
  </si>
  <si>
    <t>มีสเปคที่ใหม่กว่า คือ 6115 1/61</t>
  </si>
  <si>
    <t>6115 4/58</t>
  </si>
  <si>
    <t>เครื่องกำเนิดไฟฟ้าชนิดใช้แก๊สเป็นเชื้อเพลิง ขนาด 250 กิโลวัตต์</t>
  </si>
  <si>
    <t>4320 6/53</t>
  </si>
  <si>
    <t>เครื่องสูบน้ำเครื่องยนต์ดีเซล</t>
  </si>
  <si>
    <t>6130 1/55</t>
  </si>
  <si>
    <t>เครื่องเเปลงผันกระเเสไฟฟ้า ชนิดไม่หมุน ขนาด 600 A</t>
  </si>
  <si>
    <t>6110 1/59</t>
  </si>
  <si>
    <t>ชุดอุปกรณ์ควบคุมแรงดันไฟฟ้า ขนาด 50 กิโลวัตต์ พร้อม ATS ชนิดลากจูง</t>
  </si>
  <si>
    <t>2320 1/53</t>
  </si>
  <si>
    <t>มีสเปคที่ใหม่กว่า คือ 2320 1/59</t>
  </si>
  <si>
    <t>4320 1/55</t>
  </si>
  <si>
    <t>เครื่องสูบน้ำเครื่องยนต์ดีเซล เเบบลากจูง ขนาด 1,250 ลูกบาศก์เมตรต่อชั่วโมง</t>
  </si>
  <si>
    <t>2320 6/58</t>
  </si>
  <si>
    <t>2320 5/58</t>
  </si>
  <si>
    <t>มีสเปคที่ใหม่กว่า คือ 2320 2/59</t>
  </si>
  <si>
    <t>4120 14/58</t>
  </si>
  <si>
    <t>มีสเปคที่ใหม่กว่า คือ 4120 14/59</t>
  </si>
  <si>
    <t>4120 7/58</t>
  </si>
  <si>
    <t>เครื่องปรับอากาศเเบบเเยกส่วนขนาดทำความเย็นไม่น้อยกว่า 90,000 บีทียู</t>
  </si>
  <si>
    <t>ผ่านการพิจารณา รอ จก.ชย.ทอ.ลงนาม</t>
  </si>
  <si>
    <t xml:space="preserve">มีสเปคที่ใหม่กว่า คือ 4120 8/58 </t>
  </si>
  <si>
    <t>4320 1/62</t>
  </si>
  <si>
    <t>เครื่องปรับอากาศเเบบเเยกส่วนชนิดตั้งพื้นหรือชนิดเเขวน 2 วงจรน้ำยาทำความเย็น ขนาด 36,000 บีทียู</t>
  </si>
  <si>
    <t>มีสเปคที่ใหม่กว่า คือ 4120 4/58</t>
  </si>
  <si>
    <t>3820 1/55</t>
  </si>
  <si>
    <t>เครื่องสูบน้ำเครื่องยนต์เบนซิน ขนาด 1,100 ลิตรต่่อนาที</t>
  </si>
  <si>
    <t>มีสเปคที่ใหม่กว่า คือ 3820 2/61</t>
  </si>
  <si>
    <t>6635 2/52</t>
  </si>
  <si>
    <t>เครื่องทดสอบความสมบูรณ์ของเสาเข็ม (SEISMIC TEST)</t>
  </si>
  <si>
    <t>มีสเปคที่ใหม่กว่า คือ 6635 6/60</t>
  </si>
  <si>
    <t>4210 4/58</t>
  </si>
  <si>
    <t>6675 2/60</t>
  </si>
  <si>
    <t>เครื่องมือออกแบบเขีียนแบบพร้อมอุปกรณ์</t>
  </si>
  <si>
    <t>มีสเปคที่ใหม่กว่า คือ 6675 2/61</t>
  </si>
  <si>
    <t>6635 6/52</t>
  </si>
  <si>
    <t>ชุดทดสอบอเนกประสงค์ CBR MARSNALL และ UNCONFINED (HYDRAULICSYSTEM EQUIPMENT SET)</t>
  </si>
  <si>
    <t>มีสเปคที่ใหม่กว่า คือ 6635 2/61</t>
  </si>
  <si>
    <t>3960 1/61</t>
  </si>
  <si>
    <t>ลิฟต์โดยสารชนิดไม่มีห้องเครื่อง ขนาด 800 กิโลกรัม</t>
  </si>
  <si>
    <t>ใช้้เฉพาะกิจเท่านั้น</t>
  </si>
  <si>
    <t>3750 1/59</t>
  </si>
  <si>
    <t xml:space="preserve">ชุุดเครื่องพ่วงตัดหญ้า ROTARY </t>
  </si>
  <si>
    <t>หมดความจำเป็น</t>
  </si>
  <si>
    <t>3805 1/57</t>
  </si>
  <si>
    <t>มีสเปคที่ใหม่กว่า คือ 3805 1/61</t>
  </si>
  <si>
    <t>2320 2/52</t>
  </si>
  <si>
    <t>รถเติมเชื้อเพลิงอากาศยาน ขนาดบรรจุ 20,000  ลิตร</t>
  </si>
  <si>
    <t>มีสเปคที่ใหม่กว่า คือ 2320 1/61</t>
  </si>
  <si>
    <t>4320 7/54</t>
  </si>
  <si>
    <t>เครื่องสูบน้ำดับเพลิง ชนิดขับเคลื่อนด้วยเครื่องยนต์ดีเซล ขนาด 1,250 เเกลลอนต่อนาที</t>
  </si>
  <si>
    <t>3895 -/60</t>
  </si>
  <si>
    <t>รถบดล้อเหล็กบิเทลลี ดีทีวี 75 ขนาด 8 ตัน</t>
  </si>
  <si>
    <t>ระบุชื่อยี่ห้อ หรือรุ่น ในคุณลักษณะฯ</t>
  </si>
  <si>
    <t>2320 4/59</t>
  </si>
  <si>
    <t>รถบบทุกดีเซล ขนาด 6 ตัน 6 ล้อ ปริมาตรกระบอกสูบไม่ต่ำกว่า 6,000 ซีซี</t>
  </si>
  <si>
    <t xml:space="preserve">มีสเปคที่ใหม่กว่า คือ 2320 4/58 </t>
  </si>
  <si>
    <t>2320 1/57</t>
  </si>
  <si>
    <t>มีสเปคที่ใหม่กว่า คือ 2320 4/60</t>
  </si>
  <si>
    <t>3930 3/54</t>
  </si>
  <si>
    <t>รถยกงาเเซะ ขนาดไม่น้อยกว่า 10,000 ปอนด์</t>
  </si>
  <si>
    <t>มีสเปคที่ใหม่กว่า คือ 3930 1/60</t>
  </si>
  <si>
    <t>4320 6/54</t>
  </si>
  <si>
    <t>เครื่องสูบน้ำดับเพลิงชนิดขับเคลื่อนด้วยมอเตอร์ไฟฟ้า ขนาด 1,250 เเกลลอนต่อนาที</t>
  </si>
  <si>
    <t>6840 1/54</t>
  </si>
  <si>
    <t>เคมีกำจัดแมลง</t>
  </si>
  <si>
    <t>ต้องการปรับปรุงคุณลักษณะ</t>
  </si>
  <si>
    <t>6840 1/56</t>
  </si>
  <si>
    <t>เคมีกำจัดแมลงทำลายไม้ (ชนิดเหลว)</t>
  </si>
  <si>
    <t>มีสเปคที่ใหม่กว่า คือ 6840 2/58</t>
  </si>
  <si>
    <t>6675 1/58</t>
  </si>
  <si>
    <t>เครื่องพิมพ์สีไวนิล</t>
  </si>
  <si>
    <t>มีสเปคที่ใหม่กว่า คือ 6675 3/60</t>
  </si>
  <si>
    <t>4320 5/53</t>
  </si>
  <si>
    <t>เครื่องสูบน้ำแบบหอยโข่ง ขนาด 115 ลูกบาศก์เมตรต่อชั่วโมง</t>
  </si>
  <si>
    <t>4320 2/53</t>
  </si>
  <si>
    <t>เครื่องสูบน้ำแบบหอยโข่ง ขนาด 20 ลูกบาศก์เมตรต่อชั่วโมง</t>
  </si>
  <si>
    <t>4320 4/53</t>
  </si>
  <si>
    <t>เครื่องสูบน้ำแบบหอยโข่ง ขนาด 60 ลูกบาศก์เมตรต่อชั่วโมง</t>
  </si>
  <si>
    <t>4210 4/62</t>
  </si>
  <si>
    <t>รถดับเพลิงอาคาร 2 ตอน ขนาดบรรจุน้ำ 4,000-6,000 ลิตร</t>
  </si>
  <si>
    <t>4320 3/53</t>
  </si>
  <si>
    <t>เครื่องสูบน้ำแบบหอยโข่ง ขนาด 90 ลูกบาศก์เมตรต่อชั่วโมง</t>
  </si>
  <si>
    <t>4320 2/54</t>
  </si>
  <si>
    <t>เครื่องสูบน้ำแบบ MULTISTAGE  CENTRIFUGAL ขนาด 6 ลูกบาศก์เมตรต่อชั่วโมง</t>
  </si>
  <si>
    <t>4320 9/57</t>
  </si>
  <si>
    <t>เครื่องสูบน้ำแบบ MULTISTAGE CENTRIFUGAL  PUMP ขนาด 5 ลูกบาศก์เมตรต่อชั่วโมง</t>
  </si>
  <si>
    <t>4320 7/57</t>
  </si>
  <si>
    <t>เครื่องสูบน้ำแบบ TURBINE PUMP ขนาด 1,500 ลูกบาศก์เมตรต่อชั่วโมง</t>
  </si>
  <si>
    <t>4320 6/57</t>
  </si>
  <si>
    <t>เครื่องสูบน้ำแบบ TURBINE PUMP ขนาด 3,200 ลูกบาศก์เมตรต่อชั่วโมง</t>
  </si>
  <si>
    <t>4210 1/62</t>
  </si>
  <si>
    <t>4320 5/54</t>
  </si>
  <si>
    <t>เครื่องสูบน้ำแบบ VERTICAL  MULTISTAGE CENTRIFUGAL ขนาด 20 แกลลอนต่อนาที</t>
  </si>
  <si>
    <t>4320 8/57</t>
  </si>
  <si>
    <t>เครื่องสูบน้ำแบบ VERTICAL  MULTISTAGE  CENTRIFUGAL ขนาด 40 ลูกบาศก์เมตรต่อชั่วโมง</t>
  </si>
  <si>
    <t>4320 1/59</t>
  </si>
  <si>
    <t>เครื่องสูบน้ำเสียแบบจุุ่่ม ขนาด 10 ลูกบาศก์เมตรต่อชั่วโมง</t>
  </si>
  <si>
    <t>4210 8/52</t>
  </si>
  <si>
    <t>4320 1/57</t>
  </si>
  <si>
    <t>เครื่องสูบน้ำเสียแบบ SUBMERSIBLE  SEWAGE ขนาด 500 ลูกบาศก์เมตรต่อชั่วโมง</t>
  </si>
  <si>
    <t>4210 9/52</t>
  </si>
  <si>
    <t>4320 12/57</t>
  </si>
  <si>
    <t>เครื่องสูบน้ำเสียแบบ SUBMERSIBLE SEWAGE  PUMP ขนาด 130 ลูกบาศก์เมตรต่อชั่วโมง</t>
  </si>
  <si>
    <t>4320 4/56</t>
  </si>
  <si>
    <t>เครื่องสูบน้ำหอยโข่ง ขนาด 100 ลูกบาศก์เมตรต่อชั่วโมง</t>
  </si>
  <si>
    <t>4320 4/57</t>
  </si>
  <si>
    <t>เครื่องสูบน้ำหอยโข่ง ขนาด 1,130 ลิตรต่อนาที</t>
  </si>
  <si>
    <t>4320 8/53</t>
  </si>
  <si>
    <t>เครื่องสูบน้ำหอยโข่ง ขนาด 120 ลูกบาศก์เมตรต่อชั่วโมง</t>
  </si>
  <si>
    <t>4320 5/56</t>
  </si>
  <si>
    <t>เครื่องสูบน้ำหอยโข่ง ขนาด 250 ลูกบาศก์เมตรต่อชั่วโมง</t>
  </si>
  <si>
    <t>4320 3/57</t>
  </si>
  <si>
    <t>เครื่องสูบน้ำหอยโข่ง ขนาด 25 ลูกบาศก์เมตรต่อชั่วโมง</t>
  </si>
  <si>
    <t>4320 2/57</t>
  </si>
  <si>
    <t>เครื่องสูบน้ำหอยโข่ง ขนาด 400 ลูกบาศก์เมตรต่อชั่วโมง</t>
  </si>
  <si>
    <t>4320 5/57</t>
  </si>
  <si>
    <t>เครื่องสูบน้ำหอยโข่ง ขนาด 450 ลิตรต่อนาที</t>
  </si>
  <si>
    <t>เครื่องทำสูญญากาศ</t>
  </si>
  <si>
    <t>4320 10/54</t>
  </si>
  <si>
    <t>เครื่องสูบน้ำหางนาค ขนาดเส้นผ่าศูนย์กลางท่อส่ง 6 นิ้ว</t>
  </si>
  <si>
    <t>4320 8/54</t>
  </si>
  <si>
    <t>เครื่องสูบน้ำอัตโนมัติ ขนาด 300 วัตต์</t>
  </si>
  <si>
    <t>4320 9/54</t>
  </si>
  <si>
    <t>เครื่องสูบน้ำอัตโนมัติ ขนาด 400 วัตต์</t>
  </si>
  <si>
    <t>4320 12/54</t>
  </si>
  <si>
    <t>เครื่องสูบน้ำอัตโนมัติ ขนาด 750 วัตต์</t>
  </si>
  <si>
    <t>4320 11/54</t>
  </si>
  <si>
    <t>เครื่องสูบน้ำเเบบหอยโข่ง ขนาด 27 ลูกบาศก์เมตรต่อชั่วโมง</t>
  </si>
  <si>
    <t>4320 2/56</t>
  </si>
  <si>
    <t>เครื่องสูบน้ำ SUBMERSIBLE  PUMP ขนาด 40 ลูกบาศก์เมตรต่อชั่วโมง</t>
  </si>
  <si>
    <t>4310 2/55</t>
  </si>
  <si>
    <t>เครื่องปั๊มลม ขนาดบรรจุ 25 ลิตร</t>
  </si>
  <si>
    <t>4320 1/56</t>
  </si>
  <si>
    <t>เครื่องสูบน้ำ SUBMERSIBLE PUMP ขนาด 6 ลูกบาศก์เมตรต่อชั่วโมง</t>
  </si>
  <si>
    <t>4320 3/56</t>
  </si>
  <si>
    <t>เครื่องสูบหอยโข่ง ขนาด 40 ลูกบาศก์เมตรต่อชั่วโมง</t>
  </si>
  <si>
    <t>4310 1/53</t>
  </si>
  <si>
    <t>เครื่องอัดอากาศ ขนาด 75 เเรงม้า</t>
  </si>
  <si>
    <t>4440 3/55</t>
  </si>
  <si>
    <t xml:space="preserve"> เครื่องลดความชื้น(DEHUMIDIFIER) ขนาดไม่น้อยกว่า 140 กิโลกรัมน้ำต่อวัน</t>
  </si>
  <si>
    <t>4440 2/55</t>
  </si>
  <si>
    <t>เครื่องลดความชื้น(DEHUMIDIFIER) ขนาดไม่น้อยกว่า 260 กิโลกรัมน้ำต่อวัน</t>
  </si>
  <si>
    <t>4440 1/55</t>
  </si>
  <si>
    <t>เครื่องลดความชื้น(DEHUMIDIFIER) ขนาดไม่น้อยกว่า 400 กิโลกรัมน้ำต่อวัน</t>
  </si>
  <si>
    <t>4440 4/55</t>
  </si>
  <si>
    <t>เครื่องลดความชื้น(DEHUMIDIFIER) ขนาดไม่น้อยกว่า 85 กิโลกรัมน้ำต่อวัน</t>
  </si>
  <si>
    <t>4460 1/61</t>
  </si>
  <si>
    <t>4460 5/52</t>
  </si>
  <si>
    <t>เครื่องฟอกอากาศ(AIR CLEANER) ขนาดไม่น้อยกว่า 1,000 ลูกบาศก์ฟุตต่อนาที</t>
  </si>
  <si>
    <t>4460-35-681-3291</t>
  </si>
  <si>
    <t>4460 4/52</t>
  </si>
  <si>
    <t>เครื่องฟอกอากาศ(AIR CLEANER) ขนาดไม่น้อยกว่า 500 ลูกบาศก์ฟุตต่อนาที</t>
  </si>
  <si>
    <t>4460 3/52</t>
  </si>
  <si>
    <t>เครื่องอัดอากาศช่วยหายใจ ชนิดเคลื่อนย้ายได้</t>
  </si>
  <si>
    <t>4460 2/62</t>
  </si>
  <si>
    <t>เครื่องอัดอากาศสองหัวแบบอัดเร็ว</t>
  </si>
  <si>
    <t>4320 4/54</t>
  </si>
  <si>
    <t>เครื่องสูบน้ำแบบ MULTISTAGE  CENTRIFUGAL ขนาด 5 ลูกบาศก์เมตรต่อชั่วโมง</t>
  </si>
  <si>
    <t>4520 1/52</t>
  </si>
  <si>
    <t>เครื่องทำความร้อนชนิดเคลื่อนที่ ขนาด 2,000 วัตต์</t>
  </si>
  <si>
    <t>4520 2/57</t>
  </si>
  <si>
    <t>เครื่องทำน้ำร้อนชนิดหม้อต้ม</t>
  </si>
  <si>
    <t>4520 1/55</t>
  </si>
  <si>
    <t>เครื่องทำน้ำอุ่น ขนาด 3,500 วัตต์</t>
  </si>
  <si>
    <t>4320 3/54</t>
  </si>
  <si>
    <t>4610  1/58</t>
  </si>
  <si>
    <t>เครื่องกรองน้ำ ขนาดไม่น้อยกว่า 1,000 ลิตรต่อชั่วโมง</t>
  </si>
  <si>
    <t>4610 1/54</t>
  </si>
  <si>
    <t>เครื่องจ่ายสารเคมี (DIAPHRAM METERING  PUMP)</t>
  </si>
  <si>
    <t>4630 1/55</t>
  </si>
  <si>
    <t>เครื่องกังหันตีน้ำไฟฟ้า</t>
  </si>
  <si>
    <t>4630 3/54</t>
  </si>
  <si>
    <t>เครื่องฉีดน้ำเเรงดันสูง</t>
  </si>
  <si>
    <t>4630 2/55</t>
  </si>
  <si>
    <t>เครื่องเติมอากาศ แบบทุ่นลอย</t>
  </si>
  <si>
    <t>2320 4/62</t>
  </si>
  <si>
    <t>รถดูดสิ่งโสโครก ขนาด 5 ลูกบาศก์เมตร</t>
  </si>
  <si>
    <t>4910 1/53</t>
  </si>
  <si>
    <t>เครื่องถอดยางรถยนต์</t>
  </si>
  <si>
    <t>4930 2/53</t>
  </si>
  <si>
    <t>เครื่องเติมน้ำมันเกียร์ - เฟืองท้ายชนิดใช้เเรงดันลม</t>
  </si>
  <si>
    <t>4930 1/53</t>
  </si>
  <si>
    <t>เครื่องอัดจารบี ชนิดใช้เเรงดันลม</t>
  </si>
  <si>
    <t>5110 1/53</t>
  </si>
  <si>
    <t>เครื่องมือตัดสายไฟฟ้า (CABLE CUTTER ) ขนาด 30 มิลลิเมตร</t>
  </si>
  <si>
    <t>5120 2/52</t>
  </si>
  <si>
    <t>เครื่องดัดโค้งท่อทองแดง ขนาด 1/4 นิ้ว, 3/8 นิ้ว,1/2 นิ้ว, 5/8 นิ้วและ 3/4 นิ้ว</t>
  </si>
  <si>
    <t>ชุุด</t>
  </si>
  <si>
    <t>5120 1/55</t>
  </si>
  <si>
    <t>เครื่องย้ำหางปลา ขนาดไม่น้อยกว่า 300 ตารางมิลลิเมตร</t>
  </si>
  <si>
    <t>5120 1/52</t>
  </si>
  <si>
    <t>ปากกาจับชิ้นงานแบบตั้งโต๊ะ ขนาดปากกว้าง 6 นิ้ว</t>
  </si>
  <si>
    <t>5120 4/54</t>
  </si>
  <si>
    <t xml:space="preserve">ปากกาจับชิ้นงานเเบบตั้งโต๊ะ ขนาดปากกว้าง 8 นิ้ว </t>
  </si>
  <si>
    <t>5120 2/53</t>
  </si>
  <si>
    <t>แม่แรงยกของแบบพื้นราบ ขนาด 2 ตัน</t>
  </si>
  <si>
    <t>5120 1/54</t>
  </si>
  <si>
    <t>เเม่แรงตะเฆ่ ขนาด 3 ตัน</t>
  </si>
  <si>
    <t>5120 2/54</t>
  </si>
  <si>
    <t>เครื่องเติมอากาศ</t>
  </si>
  <si>
    <t>เเม่เเรงตะเฆ่ ขนาด 10 ตัน</t>
  </si>
  <si>
    <t>5120 3/54</t>
  </si>
  <si>
    <t>เเม่เเรงตะเฆ่ ขนาด 5 ตัน</t>
  </si>
  <si>
    <t>5130 1/59</t>
  </si>
  <si>
    <t>กบไฟฟ้า แบบมือถือ ขนาด 5 นิ้ว</t>
  </si>
  <si>
    <t>4320 1/53</t>
  </si>
  <si>
    <t>5130 2/59</t>
  </si>
  <si>
    <t>ปั๊มสูบน้ำมันด้วยไฟฟ้า</t>
  </si>
  <si>
    <t>กบไฟฟ้า แบบมือถือ ขนาด 6 นิ้ว</t>
  </si>
  <si>
    <t>5130 4/55</t>
  </si>
  <si>
    <t>เครื่องขัดกระดาษทราย ( ระบบลม )</t>
  </si>
  <si>
    <t>5130 2/54</t>
  </si>
  <si>
    <t>เครื่องขัดเเละตัดโลหะชนิดมือถือ ขนาด 4 นิ้ว</t>
  </si>
  <si>
    <t>5130 1/58</t>
  </si>
  <si>
    <t>เครื่องขัดเเละตัดโลหะชนิดมือถือ ขนาด 7 นิ้ว</t>
  </si>
  <si>
    <t>5130 5/55</t>
  </si>
  <si>
    <t>เครื่องเจาะกระแทกสกัดพื้นคอนกรีต</t>
  </si>
  <si>
    <t>5130 1/57</t>
  </si>
  <si>
    <t>เครื่องทำบัวไฟฟ้า ขนาด 12 มม. (1/2 นิ้ว)</t>
  </si>
  <si>
    <t>5130 3/55</t>
  </si>
  <si>
    <t>เครื่องเลื่อย (ระบบลม)</t>
  </si>
  <si>
    <t>5130 3/53</t>
  </si>
  <si>
    <t>เลื่อยโซ่ยนต์ ขนาด 3 แรงม้า</t>
  </si>
  <si>
    <t>5130 1/53</t>
  </si>
  <si>
    <t>เลื่อยวงเดือนไฟฟ้า ขนาด 7 นิ้ว</t>
  </si>
  <si>
    <t>5130 4/53</t>
  </si>
  <si>
    <t>เลื่อยวงเดือนไฟฟ้า ขนาด 9 นิ้ว</t>
  </si>
  <si>
    <t>5130 2/55</t>
  </si>
  <si>
    <t>สว่านไขควงไร้สาย</t>
  </si>
  <si>
    <t>5130 1/55</t>
  </si>
  <si>
    <t>สว่านไฟฟ้าชนิดเจาะคอนกรีตขนาด 1/2 นิ้ว</t>
  </si>
  <si>
    <t>5130 2/53</t>
  </si>
  <si>
    <t>สว่านไฟฟ้าโรตารี่ ขนาด 1/2 นิ้ว</t>
  </si>
  <si>
    <t>5130 3/52</t>
  </si>
  <si>
    <t>สว่านไฟฟ้าโรตารี่ ขนาด 24 มิลลิเมตร</t>
  </si>
  <si>
    <t>5133 1/53</t>
  </si>
  <si>
    <t>ชุดขยายท่อทองแดง ขนาด 1/4, 5/16, 3/8 และ 1/2 นิ้ว</t>
  </si>
  <si>
    <t>5180 1/54</t>
  </si>
  <si>
    <t>ชุดประเเจลม ( SQUARE DRIVE 1/2 นิ้ว )</t>
  </si>
  <si>
    <t>5345 1/52</t>
  </si>
  <si>
    <t>มอเตอร์หินเจีย ขนาด 6 นิ้ว</t>
  </si>
  <si>
    <t>5345 1/53</t>
  </si>
  <si>
    <t>มอเตอร์หินเจีย ขนาด 8 นิ้ว</t>
  </si>
  <si>
    <t>5410 1/54</t>
  </si>
  <si>
    <t>ตู้สำนักงานสำเร็จรูปเคลื่อนที่</t>
  </si>
  <si>
    <t>4520 2/55</t>
  </si>
  <si>
    <t>เครื่องทำน้ำร้อน ขนาด 6,000 วัตต์</t>
  </si>
  <si>
    <t>5430 3/59</t>
  </si>
  <si>
    <t>ถังผสมสารเคมี พี.อี. ขนาด 2,000 ลิตร</t>
  </si>
  <si>
    <t>4520 3/58</t>
  </si>
  <si>
    <t>เครื่องทำน้ำร้อนขนิดหม้อต้ม ขนาด 1,800 วัตต์</t>
  </si>
  <si>
    <t>4520 1/57</t>
  </si>
  <si>
    <t>4520 3/55</t>
  </si>
  <si>
    <t>5925 1/60</t>
  </si>
  <si>
    <t>ไม้ชักฟิวส์แบบสไลด์</t>
  </si>
  <si>
    <t>อัน</t>
  </si>
  <si>
    <t>4520 2/58</t>
  </si>
  <si>
    <t>5925 1/54</t>
  </si>
  <si>
    <t>เครื่องทำน้ำร้อนชนิดหม้อต้ม ขนาด 14.4 กิโลวัตต์</t>
  </si>
  <si>
    <t>ไม้ชักฟิวส์ ไม่น้อยกว่า 3 ท่อน</t>
  </si>
  <si>
    <t>4520 1/58</t>
  </si>
  <si>
    <t>เครื่องทำน้ำร้อนชนิดหม้อต้ม ขนาด 4.8 กิโลวัตต์</t>
  </si>
  <si>
    <t>6110 3/53</t>
  </si>
  <si>
    <t>เครื่องควบคุมกระแสไฟฟ้าคงที่ (CONSTANT CURRENT REGULATOR) ขนาด 7.5 kVA</t>
  </si>
  <si>
    <t>6110 2/53</t>
  </si>
  <si>
    <t>เครื่องควบคุมกระเเสไฟฟ้าคงที่ (CONSTANT CURRENT REGULATOR) ขนาด 20 kVA</t>
  </si>
  <si>
    <t>6110 1/58</t>
  </si>
  <si>
    <t>เครื่องควบคุมแรงดันไฟฟ้า ขนาด 15 kVA ระบบไฟฟ้า 220 Vac 1 ph 2 Wire 50 Hz</t>
  </si>
  <si>
    <t>6110 5/58</t>
  </si>
  <si>
    <t>เครื่องควบคุมแรงดันไฟฟ้า ขนาด 200 kVA ระบบไฟฟ้า 220/380 Vac 3Ph 4 Wire 50 Hz</t>
  </si>
  <si>
    <t>6110 3/58</t>
  </si>
  <si>
    <t>เครื่องควบคุมแรงดันไฟฟ้า ขนาด 30 kVA ระบบไฟฟ้า 220/380 Vac 3 Ph 4 Wire 50 Hz</t>
  </si>
  <si>
    <t>6110 2/58</t>
  </si>
  <si>
    <t>เครื่องควบคุมแรงดันไฟฟ้า ขนาด 30 kVA ระบบไฟฟ้า 220 Vac 1 Ph 2 Wire 50 Hz</t>
  </si>
  <si>
    <t>6110 4/58</t>
  </si>
  <si>
    <t>เครื่องควบคุมแรงดันไฟฟ้า ขนาด 45 kVA ระบบไฟฟ้า 230/400 Vac 3 Ph 4 Wire 50 Hz</t>
  </si>
  <si>
    <t>6110 1/61</t>
  </si>
  <si>
    <t>เครื่องควบคุมแรงดันไฟฟ้าอัตโนมัติ ขนาด 400 กิโลโวลต์แอมแปร์</t>
  </si>
  <si>
    <t>6110 2/59</t>
  </si>
  <si>
    <t>เครื่องจ่ายกระแสไฟฟ้าแบบต่อเนื่อง ขนาด 30 KVA</t>
  </si>
  <si>
    <t>6110 1/60</t>
  </si>
  <si>
    <t>เครื่องจ่ายกระแสไฟฟ้าแบบต่อเนื่อง ขนาด 60 kVA.</t>
  </si>
  <si>
    <t>6110 2/56</t>
  </si>
  <si>
    <t>เครื่องจ่ายกระเเสไฟฟ้า แบบต่อเนื่อง ขนาด 120 kVA</t>
  </si>
  <si>
    <t>6110 2/55</t>
  </si>
  <si>
    <t>เครื่องจ่ายไฟฟ้า เเบบต่อเนื่อง ขนาด 80 kVA</t>
  </si>
  <si>
    <t>6110 1/57</t>
  </si>
  <si>
    <t>แผงควบคุมไฟฟ้าแรงสูง ขนาด 630 A 24 kV</t>
  </si>
  <si>
    <t>6115 5/58</t>
  </si>
  <si>
    <t>เครื่องกำเนิดไฟฟ้า 15 kW</t>
  </si>
  <si>
    <t>15</t>
  </si>
  <si>
    <t>6115 2/60</t>
  </si>
  <si>
    <t>5130 1/52</t>
  </si>
  <si>
    <t>เครื่องล้างทำความสะอาดท่อโสโครกขับเคลื่อนด้วยมอเตอร์ไฟฟ้า</t>
  </si>
  <si>
    <t>6115 3/60</t>
  </si>
  <si>
    <t>เครื่องกำเนิดไฟฟ้า ขนาด 100 กิโลวัตต์ ชนิดมีตู้ครอบ</t>
  </si>
  <si>
    <t>6115 3/54</t>
  </si>
  <si>
    <t>เครื่องกำเนิดไฟฟ้า ขนาด 10 กิโลวัตต์</t>
  </si>
  <si>
    <t>4630 1/56</t>
  </si>
  <si>
    <t>6115 2/57</t>
  </si>
  <si>
    <t>เครื่องกำเนิดไฟฟ้า ขนาด 1 kW</t>
  </si>
  <si>
    <t>6115 1/58</t>
  </si>
  <si>
    <t>เครื่องกำเนิดไฟฟ้า ขนาด 200 กิโลวัตต์ ชนิดมีตู้ครอบ</t>
  </si>
  <si>
    <t>6115 2/58</t>
  </si>
  <si>
    <t>เครื่องกำเนิดไฟฟ้า ขนาด 200 กิโลวัตต์ ระบบไฟฟ้า 220/380 Vac 3 Ph 4 Wire 50 Hz</t>
  </si>
  <si>
    <t>1.250,000</t>
  </si>
  <si>
    <t>6115 3/58</t>
  </si>
  <si>
    <t>เครื่องกำเนิดไฟฟ้า ขนาด 200 กิโลวัตต์  ระบบไฟฟ้า 254/440 Vac 3 Ph 4 Wire 50 Hz</t>
  </si>
  <si>
    <t>6115 2/54</t>
  </si>
  <si>
    <t>เครื่องกำเนิดไฟฟ้า ขนาด 25 กิโลวัตต์</t>
  </si>
  <si>
    <t>6115 2/55</t>
  </si>
  <si>
    <t>เครื่องกำเนิดไฟฟ้า ขนาด 3 กิโลวัตต์</t>
  </si>
  <si>
    <t>6115 4/53</t>
  </si>
  <si>
    <t>เครื่องกำเนิดไฟฟ้า ขนาด 400 กิโลวัตต์</t>
  </si>
  <si>
    <t>6115 5/53</t>
  </si>
  <si>
    <t>เครื่องกำเนิดไฟฟ้า ขนาด 500 กิโลวัตต์</t>
  </si>
  <si>
    <t>เครื่องปรับอากาศ แบบแยกส่วน แบบตั้งพื้นหรือแบบแขวน  ขนาด 13,000 บีทียู</t>
  </si>
  <si>
    <t>เครื่องปรับอากาศ แบบแยกส่วน แบบตั้งพื้นหรือแบบแขวน ขนาด 18,000 บีทียู</t>
  </si>
  <si>
    <t>6115 1/61</t>
  </si>
  <si>
    <t>6115 2/59</t>
  </si>
  <si>
    <t>เครื่องกำเนิดไฟฟ้า ขนาด 800 กิโลวัตต์</t>
  </si>
  <si>
    <t>เครื่องปรับอากาศ แบบแยกส่วน แบบตั้งพื้นหรือแบบแขวน ขนาด 20,000 บีทียู</t>
  </si>
  <si>
    <t>4940 1/52</t>
  </si>
  <si>
    <t>เครื่องพ่นสี ขนาด 1/2 เเรงม้า</t>
  </si>
  <si>
    <t>เครื่องปรับอากาศ แบบแยกส่วน แบบตั้งพื้นหรือแบบแขวน ขนาด 24,000 บีทียู</t>
  </si>
  <si>
    <t>เครื่องปรับอากาศ แบบแยกส่วน แบบตั้งพื้นหรือแบบแขวน ขนาด 30,000 บีทียู</t>
  </si>
  <si>
    <t>6115 1/60</t>
  </si>
  <si>
    <t>เครื่องกำเนิดไฟฟ้า ชนิด INVERTER  ขนาด  1 กิโลวัตต์</t>
  </si>
  <si>
    <t>เครื่องปรับอากาศ แบบแยกส่วน แบบตั้งพื้นหรือแบบแขวน ขนาด 36,000 บีทียู</t>
  </si>
  <si>
    <t>เครื่องปรับอากาศ แบบแยกส่วน แบบตั้งพื้นหรือแบบแขวน ขนาด 400,000 บีทียู</t>
  </si>
  <si>
    <t>เครื่องปรับอากาศ แบบแยกส่วน แบบติดผนัง ขนาด 12,000 บีทียุ</t>
  </si>
  <si>
    <t>6125 2/54</t>
  </si>
  <si>
    <t>เครื่องแปลงกระแสไฟฟ้า ชนิด ON GRID ขนาด 10 kW</t>
  </si>
  <si>
    <t>เครื่องปรับอากาศ แบบแยกส่วน แบบติดผนัง ขนาด 18,000 บีทียุ</t>
  </si>
  <si>
    <t>เครื่องปรับอากาศ แบบแยกส่วน แบบติดผนัง ขนาด 20,000 บีทียุ</t>
  </si>
  <si>
    <t>เครื่องปรับอากาศ แบบแยกส่วน แบบติดผนัง ขนาด 24,000 บีทียุ</t>
  </si>
  <si>
    <t>6125 1/54</t>
  </si>
  <si>
    <t>เครื่องแปลงกระแสไฟฟ้า ON GRID 5 kW</t>
  </si>
  <si>
    <t>6125 2/61</t>
  </si>
  <si>
    <t>เครื่องแปลงความถี่ขนาด 60 KVA 50/400 Hz</t>
  </si>
  <si>
    <t>6125 1/61</t>
  </si>
  <si>
    <t>เครื่องแปลงความถี่ไฟฟ้า ขนาด 10 kW 50/60 Hz</t>
  </si>
  <si>
    <t>6125 1/53</t>
  </si>
  <si>
    <t>เครื่องเเปลงกระเเสไฟฟ้า ชนิด OFF GRID ขนาด 5 kW</t>
  </si>
  <si>
    <t>6125 2/53</t>
  </si>
  <si>
    <t>เครื่องเเปลงกระเเสไฟฟ้า ชนิด ON GRID ขนาด 6 kW</t>
  </si>
  <si>
    <t>6125 2/55</t>
  </si>
  <si>
    <t>เครื่องเเปลงความถี่ไฟฟ้า ขนาด 10 kW 50/400 Hz</t>
  </si>
  <si>
    <t>6125 1/55</t>
  </si>
  <si>
    <t>เครื่องเเปลงความถี่ไฟฟ้า ขนาด 10 kW 50/60 Hz</t>
  </si>
  <si>
    <t>6130 3/56</t>
  </si>
  <si>
    <t>เครื่องประจุไฟฟ้าแบตเตอรี่ ขนาด 24 V 30 A</t>
  </si>
  <si>
    <t>6130 1/54</t>
  </si>
  <si>
    <t>เครื่องประจุไฟฟ้าเเบตเตอรี่ ขนาด 24 V 100 A</t>
  </si>
  <si>
    <t>6130 2/56</t>
  </si>
  <si>
    <t>เครื่องแปลงกระแสไฟฟ้า ขนาด 1,000 W</t>
  </si>
  <si>
    <t>6130 1/56</t>
  </si>
  <si>
    <t>เครื่องแปลงกระแสไฟฟ้า ขนาด 500 W</t>
  </si>
  <si>
    <t>6150 1/58</t>
  </si>
  <si>
    <t>สวิตช์ปลด - สับกระแสไฟฟ้า 33 kV 400 A</t>
  </si>
  <si>
    <t>6150 2/58</t>
  </si>
  <si>
    <t>สวิต์ปลด - สับกระแสไฟฟ้า 24 kV 630 A</t>
  </si>
  <si>
    <t>6150 1/55</t>
  </si>
  <si>
    <t>EARTH TESTER</t>
  </si>
  <si>
    <t>6210 2/58</t>
  </si>
  <si>
    <t>ชุดโคมฉายขนาด 1,000 วัตต์ (ชนิดใช้หลอด HIGH PRESSURE SODIUM)</t>
  </si>
  <si>
    <t>6210 1/58</t>
  </si>
  <si>
    <t>ชุดโคมฉายขนาด 1,000 วัตต์ (ชนิดใช้หลอด METAL HALIDE)</t>
  </si>
  <si>
    <t>6210 1/55</t>
  </si>
  <si>
    <t>ชุดไฟส่่องสว่างฉุกเฉินแบบเคลื่อนที่ ขนาดไม่น้อยกว่า 5 kVA</t>
  </si>
  <si>
    <t>5130 3/54</t>
  </si>
  <si>
    <t>6210 1/59</t>
  </si>
  <si>
    <t>ชุดไฟส่่องสว่างฉุกเฉินแบบเคลื่อนที่ ขนาดไม่น้อยกว่า 6 kVA</t>
  </si>
  <si>
    <t>6230 1/60</t>
  </si>
  <si>
    <t>ปืนสัญญาณไฟ (SIGNAL LIGHT GUN)</t>
  </si>
  <si>
    <t>6230 2/60</t>
  </si>
  <si>
    <t>ไฟแสดงตำแหน่งสนามบิน (ROTATING BEACON LIGHT)</t>
  </si>
  <si>
    <t>5130 2/52</t>
  </si>
  <si>
    <t>เครื่องเป่าลมแบบมือถือ</t>
  </si>
  <si>
    <t>6625 1/57</t>
  </si>
  <si>
    <t>เครื่องวิเคราะห์คุณภาพไฟฟ้า</t>
  </si>
  <si>
    <t>6630 2/54</t>
  </si>
  <si>
    <t>เครื่องเก็บตัวอย่างน้ำ</t>
  </si>
  <si>
    <t>6630 1/52</t>
  </si>
  <si>
    <t>เครื่องวัดค่าความเป็นกรดด่าง</t>
  </si>
  <si>
    <t>6630 1/54</t>
  </si>
  <si>
    <t>เครื่องวัดค่าออกซิเจนที่ละลายในน้ำ แบบมือถือ</t>
  </si>
  <si>
    <t>6635 4/60</t>
  </si>
  <si>
    <t>เครื่องทดสอบความแข็งแรงของดินด้วยแรงตกกระทบ (IMPACT SOIL TESTER) ชนิดค้อนกระแทก ขนาด 4.5 กิโลกรัม</t>
  </si>
  <si>
    <t>6635-35-681-6267</t>
  </si>
  <si>
    <t>6635 6/60</t>
  </si>
  <si>
    <t>6635-35-681-6213</t>
  </si>
  <si>
    <t>6635 1/61</t>
  </si>
  <si>
    <t>เครื่องทดสอบแรงดึงของโลหะขนาด 20kN</t>
  </si>
  <si>
    <t>6635 3/61</t>
  </si>
  <si>
    <t>ชุดเครื่องมือทดสอบสมบัติเชิงกลอเนกประสงค์ (UNIVERSAL TESTING MACHINE, UTM)</t>
  </si>
  <si>
    <t>6635 1/60</t>
  </si>
  <si>
    <t>ชุดเตรียมตัวอย่างแอสฟัลท์ติกคอนกรีตสำหรับการทดสอบโดยวิธี MARSHALL</t>
  </si>
  <si>
    <t>6635-35-681-6259</t>
  </si>
  <si>
    <t>6635 3/60</t>
  </si>
  <si>
    <t>ชุดทดสอบกำลังคอนกรีต ขนาด 2,000 KN</t>
  </si>
  <si>
    <t>6635-35-681-6258</t>
  </si>
  <si>
    <t>6635 1/56</t>
  </si>
  <si>
    <t>ชุดทดสอบกำลังรับเเรงเฉือนของดินในสนาม แบบ DYNAMIC CONE PENETRATION</t>
  </si>
  <si>
    <t>5130 4/52</t>
  </si>
  <si>
    <t>6635-35-681-6265</t>
  </si>
  <si>
    <t>สว่านไฟฟ้าขนาด 1/2 นิ้ว</t>
  </si>
  <si>
    <t>รอเข้าพิจารณา คุณลักษณะฯ</t>
  </si>
  <si>
    <t>6635 ..../62</t>
  </si>
  <si>
    <t>ชุดทดสอบความหนาแน่นของดินในสนามแบบ ELECTRICAL DENSITY GAUGE  -  (รอเข้าพิจารณา คุณลักษณะฯ)</t>
  </si>
  <si>
    <t>12-02-62  อยู่ะหว่างการจัดทำเสปค</t>
  </si>
  <si>
    <t>ไม่ผ่านการประชุมขากกองฯ</t>
  </si>
  <si>
    <t>เอกสารคู่เทียบไม่พร้อม</t>
  </si>
  <si>
    <t>ตารางเปรียบเทียบคุณสมบัติ</t>
  </si>
  <si>
    <t>ยังไม่ส่งราคาของแต่ละยี่ห้อ</t>
  </si>
  <si>
    <t>ยังไม่ถ่ายสำเนาให้กรรมการ 12 ชุด</t>
  </si>
  <si>
    <t>ยังไม่่ส่งไฟล์ ที่ใช้ในการประชุม</t>
  </si>
  <si>
    <t>6635 7/60</t>
  </si>
  <si>
    <t>ชุดทดสอบความหนืดแบบคิเนแมติก</t>
  </si>
  <si>
    <t>6635-35-681-6182</t>
  </si>
  <si>
    <t>6635 2/60</t>
  </si>
  <si>
    <t>ชุดทดสอบหาค่่า LIQUID LIMIT และ  PLASTIC LIMIT</t>
  </si>
  <si>
    <t>6635-35-681-6268</t>
  </si>
  <si>
    <t>6635 2/61</t>
  </si>
  <si>
    <t>6635-35-681-6256</t>
  </si>
  <si>
    <t>6635 5/60</t>
  </si>
  <si>
    <t>ตู้อบตัวอย่างวัสดุ (DRYING OVEN)</t>
  </si>
  <si>
    <t>6635-35-681-6266</t>
  </si>
  <si>
    <t>6675 4/58</t>
  </si>
  <si>
    <t>เครื่องเจาะกระดาษไฟฟ้าสำหรับเข้าเล่มแบบก่อสร้าง ชนิดมือโยก</t>
  </si>
  <si>
    <t>ผจง.</t>
  </si>
  <si>
    <t>6675 2/59</t>
  </si>
  <si>
    <t>เครื่องทำสำเนาไฟล์ดิจิตอล สำหรับออกแบบและเขียนแบบความเร็วไม่น้อยกว่า 25 แผ่นต่อนาที ที่ความละเอียด 300 dpi</t>
  </si>
  <si>
    <t>6675-35-681-6700</t>
  </si>
  <si>
    <t>6675 3/59</t>
  </si>
  <si>
    <t>เครื่องพิมพ์แบบแปลนขนาดใหญ่ ระบบมัลติฟังค์ชั่น ขนาดหน้ากว้าง 91.4 เซนติเมตร สามารถพิมพ์สำเนาลายเส้นสีดำ พร้อมชุดสแกนสี</t>
  </si>
  <si>
    <t>6675-35-681-6707</t>
  </si>
  <si>
    <t>6675 3/60</t>
  </si>
  <si>
    <t>เครื่องพิมพ์สีแผ่นไวนิล</t>
  </si>
  <si>
    <t>5210 1/61</t>
  </si>
  <si>
    <t xml:space="preserve">เครื่องวัดระยะทางด้วยเลเซอร์แบบมือถือ </t>
  </si>
  <si>
    <t>6675 5/58</t>
  </si>
  <si>
    <t>เครื่องมือสำรวจประมวลผลรวม (TOTAL STATION)</t>
  </si>
  <si>
    <t>ผบผ.</t>
  </si>
  <si>
    <t>5210 2/61</t>
  </si>
  <si>
    <t>ผวยธ.</t>
  </si>
  <si>
    <t>เครื่องวัดระยะทางด้วยเลเซอร์แบบมือถือ พร้อมอุปกรณ์ครบชุด</t>
  </si>
  <si>
    <t>6675 1/60</t>
  </si>
  <si>
    <t>เครื่องมือสำรวจรังวัดค่าระดับเชิงเลข (DIGITAL LEVELING MEASUREMENT)</t>
  </si>
  <si>
    <t>6675 1/61</t>
  </si>
  <si>
    <t>เครื่องมือออกแบบก่อสร้าง</t>
  </si>
  <si>
    <t>5210 2/55</t>
  </si>
  <si>
    <t xml:space="preserve">เทปวัดระยะทาง  </t>
  </si>
  <si>
    <t>6675 2/61</t>
  </si>
  <si>
    <t>เครื่องมือออกแบบเขียนแบบพร้อมอุปกรณ์</t>
  </si>
  <si>
    <t>5210-35-681-3813</t>
  </si>
  <si>
    <t>6675 ..../62</t>
  </si>
  <si>
    <t>ชุดเครื่องมือออกแบบเขียนแบบ งานวิศวกรรมโครงสร้าง</t>
  </si>
  <si>
    <t>5210 1/55</t>
  </si>
  <si>
    <t xml:space="preserve">ล้อวัดระยะทาง </t>
  </si>
  <si>
    <t>6680 1/54</t>
  </si>
  <si>
    <t>เครื่องอ่านมาตรวัดน้ำประปาพร้อมเครื่องพิมพ์ความร้อน เเบบพกพา</t>
  </si>
  <si>
    <t>6680 1/55</t>
  </si>
  <si>
    <t>ชุดเกจเเละวาล์วพร้อมสายเติมน้ำยาเครื่องทำความเย็น</t>
  </si>
  <si>
    <t>6685 1/58</t>
  </si>
  <si>
    <t>เครื่องวัดอุณหภูมิแบบไม่สัมผัส (อินฟราเรด)</t>
  </si>
  <si>
    <t>6695 1/52</t>
  </si>
  <si>
    <t>เครื่องวัดความเร็วลมแบบดิจิตอล</t>
  </si>
  <si>
    <t>6810 1/53</t>
  </si>
  <si>
    <t xml:space="preserve">น้ำยาดับเพลิงโฟม ชนิดแอลกอฮอล์ </t>
  </si>
  <si>
    <t>ถัง</t>
  </si>
  <si>
    <t>เคมีกำจัดแมลงทำลายไม้​ (ชนิดผง)​</t>
  </si>
  <si>
    <t>500 กรัม/ถุง</t>
  </si>
  <si>
    <t>6840 2/58</t>
  </si>
  <si>
    <t>1 ลิตร/ขวด</t>
  </si>
  <si>
    <t>6840  1/58</t>
  </si>
  <si>
    <t>เคมีกำจัดแมลงทำลายไม้ (ระบบเหยื่อล่อ)</t>
  </si>
  <si>
    <t>100 กรัม/ถุง</t>
  </si>
  <si>
    <t>8415 2/61</t>
  </si>
  <si>
    <t>8415 1/61</t>
  </si>
  <si>
    <t>8415 3/52</t>
  </si>
  <si>
    <t>ชุดป้องกันความร้อน</t>
  </si>
  <si>
    <t>5610 4/52</t>
  </si>
  <si>
    <t xml:space="preserve">แอสฟัลต์คอนกรีต </t>
  </si>
  <si>
    <t>10</t>
  </si>
  <si>
    <t>9999 1/54</t>
  </si>
  <si>
    <t>ตู้ห้องน้ำสำเร็จรูปเคลื่อนที่</t>
  </si>
  <si>
    <t>5660 1/55</t>
  </si>
  <si>
    <t>แขนกั้นรถยนต์อัตโนมัติ</t>
  </si>
  <si>
    <t>ชย.ทอ. 1/58</t>
  </si>
  <si>
    <t>รถเติมเชื้อเพลิงอากาศยาน ขนาดบรรจุ 8,000 ลิตร</t>
  </si>
  <si>
    <t>5660 2/58</t>
  </si>
  <si>
    <t>แขนกั้นรถยนต์อัตโนมัติชนิดแขนตรงยาวไม่น้อยกว่า 6 เมตร</t>
  </si>
  <si>
    <t>10000-0001</t>
  </si>
  <si>
    <t>10000-0002</t>
  </si>
  <si>
    <t>10000-0003</t>
  </si>
  <si>
    <t>5660 1/58</t>
  </si>
  <si>
    <t>แขนกั้นรถยนต์อัตโนมัติชนิิดแขนตรงยาวไม่น้อยกว่า 4 เมตร</t>
  </si>
  <si>
    <t>10000-0004</t>
  </si>
  <si>
    <t>เครื่องกำเนิดไฟฟ้า ขนาด 15 กิโลวัตต์</t>
  </si>
  <si>
    <t>10000-0005</t>
  </si>
  <si>
    <t>เครื่องกำเนิดไฟฟ้า ขนาด 200 กิโลวัตต์</t>
  </si>
  <si>
    <t>5660 3/55</t>
  </si>
  <si>
    <t>เเขนกั้นรถยนต์อัตโนมัติ ชนิดแขนพับ 90 องศา</t>
  </si>
  <si>
    <t>10000-0006</t>
  </si>
  <si>
    <t>10000-0007</t>
  </si>
  <si>
    <t>เครื่องกำเนิดไฟฟ้า ขนาด 300 กิโลวัตต์</t>
  </si>
  <si>
    <t>10000-0008</t>
  </si>
  <si>
    <t>10000-0010</t>
  </si>
  <si>
    <t>10000-0011</t>
  </si>
  <si>
    <t>เครื่องกำเนิดไฟฟ้า ขนาด 50 กิโลวัตต์</t>
  </si>
  <si>
    <t>10000-0012</t>
  </si>
  <si>
    <t>10000-0013</t>
  </si>
  <si>
    <t>เครื่องขัดกระดาษทราย แบบมือถือ แบบสั่น ขนาด 112 x 225 มิลลิเมตร</t>
  </si>
  <si>
    <t>10000-0014</t>
  </si>
  <si>
    <t>เครื่องขัดกระดาษทราย แบบมือถือ แบบสายพาน ขนาด 100 มิลลิเมตร</t>
  </si>
  <si>
    <t>10000-0015</t>
  </si>
  <si>
    <t>เครื่องขัดกระดาษทราย แบบมือถือ แบบสายพาน ขนาด  75 มิลลิเมตร</t>
  </si>
  <si>
    <t>10000-0016</t>
  </si>
  <si>
    <t>เครื่องขัดพื้น</t>
  </si>
  <si>
    <t>10000-0017</t>
  </si>
  <si>
    <t>เครื่องเจีย/ตัด แบบมือถือ ขนาด 5 นิ้ว</t>
  </si>
  <si>
    <t>10000-0018</t>
  </si>
  <si>
    <t>เครื่องเจีย/ตัด แบบมือถือ ขนาด 6 นิ้ว</t>
  </si>
  <si>
    <t>เครื่องเจีย/ตัด แบบมือถือ ขนาด 7 นิ้ว</t>
  </si>
  <si>
    <t>10000-0020</t>
  </si>
  <si>
    <t>เครื่องเจีย/ตัด แบบมือถือ ขนาด 9 นิ้ว</t>
  </si>
  <si>
    <t>10000-0021</t>
  </si>
  <si>
    <t>10000-0022</t>
  </si>
  <si>
    <t>เครื่องปรับอากาศ แบบแยกส่วน แบบตั้งพื้นหรือแบบแขวน  ขนาด 15,000 บีทียู</t>
  </si>
  <si>
    <t>เครื่องปรับอากาศ แบบแยกส่วน แบบตั้งพื้นหรือแบบแขวน   ขนาด 26,000 บีทียู</t>
  </si>
  <si>
    <t>เครื่องปรับอากาศ แบบแยกส่วน แบบตั้งพื้นหรือแบบแขวน ขนาด 32,000 บีทียู ู</t>
  </si>
  <si>
    <t>เครื่องปรับอากาศ แบบแยกส่วน แบบตั้งพื้นหรือแบบแขวน  (ระบบ Inverter)  ขนาด 13,000 บีทียู</t>
  </si>
  <si>
    <t>เครื่องปรับอากาศ แบบแยกส่วน แบบตั้งพื้นหรือแบบแขวน  (ระบบ Inverter) ขนาด 18,000 บีทียู</t>
  </si>
  <si>
    <t>10000-0035</t>
  </si>
  <si>
    <t>เครื่องปรับอากาศ แบบแยกส่วน แบบตั้งพื้นหรือแบบแขวน  (ระบบ Inverter)  ขนาด 20,000 บีทียู</t>
  </si>
  <si>
    <t>10000-0036</t>
  </si>
  <si>
    <t>เครื่องปรับอากาศ แบบแยกส่วน แบบตั้งพื้นหรือแบบแขวน  (ระบบ Inverter)  ขนาด 24,000 บีทียู</t>
  </si>
  <si>
    <t>10000-0037</t>
  </si>
  <si>
    <t>เครื่องปรับอากาศ แบบแยกส่วน แบบตั้งพื้นหรือแบบแขวน  (ระบบ Inverter)  ขนาด 30,000 บีทียู</t>
  </si>
  <si>
    <t>10000-0038</t>
  </si>
  <si>
    <t>เครื่องปรับอากาศ แบบแยกส่วน แบบตั้งพื้นหรือแบบแขวน  (ระบบ Inverter)  ขนาด 36,000 บีทียู</t>
  </si>
  <si>
    <t>10000-0039</t>
  </si>
  <si>
    <t>เครื่องปรับอากาศ แบบแยกส่วน แบบตั้งพื้นหรือแบบแขวน  (ระบบ Inverter)  ขนาด 40,000 บีทียู</t>
  </si>
  <si>
    <t>10000-0040</t>
  </si>
  <si>
    <t>เครื่องปรับอากาศ แบบแยกส่วน แบบตั้งพื้นหรือแบบแขวน  (ระบบ Inverter)  ขนาด 48,000 บีทียู</t>
  </si>
  <si>
    <t>10000-0041</t>
  </si>
  <si>
    <t>10000-0042</t>
  </si>
  <si>
    <t>10000-0043</t>
  </si>
  <si>
    <t>เครื่องปรับอากาศ แบบแยกส่วน แบบติดผนัง (ระบบ Inverter) ขนาด 12,000 บีทียุ</t>
  </si>
  <si>
    <t>เครื่องปรับอากาศ แบบแยกส่วน แบบติดผนัง (ระบบ Inverter)ขนาด 15,000 บีทียุ</t>
  </si>
  <si>
    <t>เครื่องปรับอากาศ แบบแยกส่วน แบบติดผนัง (ระบบ Inverter) ขนาด 18,000 บีทียุ</t>
  </si>
  <si>
    <t>เครื่องปรับอากาศ แบบแยกส่วน แบบติดผนัง (ระบบ Inverter)ขนาด 24,000 บีทียุ</t>
  </si>
  <si>
    <t xml:space="preserve">เครื่องปรับอากาศ แบบแยกส่วน แบบตู้ตั้งพื้น  ขนาด 44,000 บีทียู </t>
  </si>
  <si>
    <t>เครื่องปรับอากาศ แบบแยกส่วน แบบตู้ตั้งพื้น  ขนาด 56,000 บีทียู</t>
  </si>
  <si>
    <t>เครื่องปั่น และผสมสำรอดฟัน</t>
  </si>
  <si>
    <t>เครื่องผสมคอนกรีต ชนิดเหล็กหล่อ</t>
  </si>
  <si>
    <t>เครื่องผสมคอนกรีต ชนิดเหล็กเหนียว</t>
  </si>
  <si>
    <t>เครื่องสั่นคอนกรีต ขนาด 25 มิลลิเมตร</t>
  </si>
  <si>
    <t>เครื่องสั่นคอนกรีต ขนาด 38 มิลลิเมตร</t>
  </si>
  <si>
    <t>6115 3/57</t>
  </si>
  <si>
    <t>เครื่องกำเนิดไฟฟ้า ขนาด 200 กิโลวัตต์ ชนิดลากจูง</t>
  </si>
  <si>
    <t>เครื่องสั่นคอนกรีต ขนาด 45 มิลลิเมตร</t>
  </si>
  <si>
    <t>เครื่องสูบน้ำ แบบท่อ สูบน้ำพญานาค</t>
  </si>
  <si>
    <t>เครื่องสูบน้ำ แบบหอยโข่ง เครื่องยนต์ดีเซล สูบน้ำได้ 1,750 ลิตรต่อนาที</t>
  </si>
  <si>
    <t>เครื่องสูบน้ำ แบบหอยโข่ง เครื่องยนต์ดีเซล สูบน้ำได้ 3,800 ลิตรต่อนาที</t>
  </si>
  <si>
    <t>เครื่องสูบน้ำ แบบหอยโข่ง เครื่องยนต์เบนซิน สูบน้ำได้ 1,000 ลิตรต่อนาที ขนาด 5 แรงม้า</t>
  </si>
  <si>
    <t>เครื่องสูบน้ำ แบบหอยโข่ง เครื่องยนต์เบนซิน สูบน้ำได้ 1,000 ลิตรต่อนาที ขนาด 7 แรงม้า</t>
  </si>
  <si>
    <t>10000-0062</t>
  </si>
  <si>
    <t>เครื่องสูบน้ำ แบบหอยโข่ง เครื่องยนต์เบนซิน สูบน้ำได้  450 ลิตรต่อนาที</t>
  </si>
  <si>
    <t>เครื่องสูบน้ำ แบบหอยโข่ง มอเตอร์ไฟฟ้า สูบน้ำได้ 1,130 ลิตรต่อนาที</t>
  </si>
  <si>
    <t>เครื่องสูบน้ำ แบบหอยโข่ง มอเตอร์ไฟฟ้า สูบน้ำได้ 1,500 ลิตรต่อนาที</t>
  </si>
  <si>
    <t>เครื่องสูบน้ำ แบบหอยโข่ง มอเตอร์ไฟฟ้า สูบน้ำได้  450 ลิตรต่อนาที</t>
  </si>
  <si>
    <t>แม่แรงตะเฆ่ ขนาด 2 ตัน</t>
  </si>
  <si>
    <t>แม่แรงตะเฆ่ ขนาด 3 ตัน</t>
  </si>
  <si>
    <t>แม่แรงตะเฆ่ ขนาด 5 ตัน</t>
  </si>
  <si>
    <t>แม่แรงยกกระปุกเกียร์ ขนาด 1,000 กิโลกรัม</t>
  </si>
  <si>
    <t>แม่แรงยกกระปุกเกียร์ ขนาด 1,200 กิโลกรัม</t>
  </si>
  <si>
    <t>แม่แรงยกกระปุกเกียร์ ขนาด 1,500 กิโลกรัม</t>
  </si>
  <si>
    <t>แม่แรงยกกระปุกเกียร์ ขนาด  800 กิโลกรัม</t>
  </si>
  <si>
    <t>รถเกลี่ยดิน ขนาด 150 แรงม้า</t>
  </si>
  <si>
    <t>รถขุดตีนตะขาบ ขนาด 120 แรงม้า</t>
  </si>
  <si>
    <t>6115 1/54</t>
  </si>
  <si>
    <t>เครื่องกำเนิดไฟฟ้า ชนิดกังหันลม แบบแนวนอน ขนาด 1 กิโลวัตต์</t>
  </si>
  <si>
    <t>รถขุดตีนตะขาบ ขนาด 150 แรงม้า</t>
  </si>
  <si>
    <t>รถขุดตีนตะขาบ ขนาด 200 แรงม้า</t>
  </si>
  <si>
    <t>รถตักล้อยาง ขนาด 100 แรงม้า</t>
  </si>
  <si>
    <t>6115 3/53</t>
  </si>
  <si>
    <t>เครื่องกำเนิดไฟฟ้า ชนิดกังหันลม แบบแนวนอน ขนาด 5 กิโลวัตต์</t>
  </si>
  <si>
    <t>รถตักล้อยาง ขนาด 150 แรงม้า  -  ข้อแนะนำ รายการนี้ควรไปขอใช้ของ ชย.ทอ. 3805 1/59</t>
  </si>
  <si>
    <t>รถตักหน้าขุดหลัง ชนิดขับเคลื่อน 2 ล้อ</t>
  </si>
  <si>
    <t>6115 1/52</t>
  </si>
  <si>
    <t>เครื่องกำเนิดไฟฟ้า ชนิดกังหันลม แบบแนวนอน ขนาดไม่น้อยกว่า 2 กิโลวัตต์</t>
  </si>
  <si>
    <t>รถตักหน้าขุดหลัง ชนิดขับเคลื่อน 4 ล้อ</t>
  </si>
  <si>
    <t>รถบดล้อเหล็ก ขนาด 10 ตัน</t>
  </si>
  <si>
    <t>รถบรรทุกขยะ ขนาด 1 ตัน ปริมาตรกระบอกสูบไม่ต่ำกว่า 2,400 ซีซี หรือกำลังเครื่องยนต์สูงสุด ไม่ต่ำกว่า 110 กิโลวัตต์ แบบเปิด ข้างเทท้าย  -  ข้อแนะนำ รายการนี้ควรไปขอใช้ของ ชย.ทอ. 2320 2/62</t>
  </si>
  <si>
    <t>รถบรรทุกขยะ ขนาด 6 ตัน 6 ล้อ ปริมาตรกระบอกสูบ ไม่ต่ำกว่า 6,000 ซีซี หรือกำลังเครื่องยนต์สูงสุด ไม่ต่ำกว่า 170 กิโลวัตต์ แบบเปิด ข้างเทท้าย</t>
  </si>
  <si>
    <t>รถบรรทุกขยะ ขนาด 6 ตัน 6 ล้อ ปริมาตรกระบอกสูบ ไม่ต่ำกว่า 6,000 ซีซี หรือกำลังเครื่องยนต์สูงสุด ไม่ต่ำกว่า 170 กิโลวัตต์  แบบอัดท้าย</t>
  </si>
  <si>
    <t>รถฟาร์มแทรกเตอร์ ชนิดขับเคลื่อน 4 ล้อ ขนาด 25 แรงม้า</t>
  </si>
  <si>
    <t>รถฟาร์มแทรกเตอร์ ชนิดขับเคลื่อน 4 ล้อ ขนาด 40 แรงม้า  -  ข้อแนะนำ ขอให้ไปใช้ของ ชย.ทอ.แทน 2420 1/56</t>
  </si>
  <si>
    <t>รถฟาร์มแทรกเตอร์ ชนิดขับเคลื่อน 4 ล้อ ขนาด 85 แรงม้า  -  ข้อแนะนำ ขอให้ไปใช้ของ ชย.ทอ.แทน 2420 1/58</t>
  </si>
  <si>
    <t>รอก ขนาด 2 ตัน</t>
  </si>
  <si>
    <t>รอก ขนาด 3 ตัน</t>
  </si>
  <si>
    <t>รอก ขนาด 5 ตัน</t>
  </si>
  <si>
    <t>เลื่อยวงเดือนไฟฟ้า แบบมือถือ ขนาด 8 นิ้ว</t>
  </si>
  <si>
    <t>เลื่อยวงเดือนไฟฟ้า แบบมือถือ ขนาด 9 นิ้ว</t>
  </si>
  <si>
    <t>1515-2549</t>
  </si>
  <si>
    <t>มอก.</t>
  </si>
  <si>
    <t>เครื่องฟอกอากาศแบบฝังใต้เพดาน ขนาดความเร็วของแรงลมระดับสูงไม่ต่ำกว่า 500 ซีแอฟเอ็ม</t>
  </si>
  <si>
    <t>1515-2550</t>
  </si>
  <si>
    <t>เครื่องฟอกอากาศแบบฝังใต้เพดาน ขนาดความเร็วของแรงลมระดับสูงไม่ต่ำกว่า 1,000 ซีแอฟเอ็ม</t>
  </si>
  <si>
    <t>6240 3/59</t>
  </si>
  <si>
    <t>6240 4/59</t>
  </si>
  <si>
    <t>6240 2/59</t>
  </si>
  <si>
    <t>6240 1/59</t>
  </si>
  <si>
    <t>6240 6/59</t>
  </si>
  <si>
    <t>6240 7/59</t>
  </si>
  <si>
    <t>6240 5/59</t>
  </si>
  <si>
    <t>เครื่องวัดอัตราการไหลของน้ำในรางเปิด</t>
  </si>
  <si>
    <t>6675-35-681-6709</t>
  </si>
  <si>
    <t>6675-35-681-6310</t>
  </si>
  <si>
    <t>เครื่องวัดอุณหภูมิและความชื้น</t>
  </si>
  <si>
    <t>6695 1/53</t>
  </si>
  <si>
    <t>หัวเติมลมพร้อมเกจวัด</t>
  </si>
  <si>
    <t>10000-0133</t>
  </si>
  <si>
    <t>10000-0134</t>
  </si>
  <si>
    <t>10000-0135</t>
  </si>
  <si>
    <t>10000-0136</t>
  </si>
  <si>
    <t>10000-0137</t>
  </si>
  <si>
    <t>10000-0138</t>
  </si>
  <si>
    <t>10000-0139</t>
  </si>
  <si>
    <t>10000-0140</t>
  </si>
  <si>
    <t>10000-0141</t>
  </si>
  <si>
    <t>10000-0142</t>
  </si>
  <si>
    <t>10000-0143</t>
  </si>
  <si>
    <t>10000-0162</t>
  </si>
  <si>
    <t>10000-0163</t>
  </si>
  <si>
    <t>10000-0164</t>
  </si>
  <si>
    <t>10000-0183</t>
  </si>
  <si>
    <t>10000-0184</t>
  </si>
  <si>
    <t>10000-0185</t>
  </si>
  <si>
    <t>10000-0186</t>
  </si>
  <si>
    <t>10000-0187</t>
  </si>
  <si>
    <t>10000-0188</t>
  </si>
  <si>
    <t>10000-0189</t>
  </si>
  <si>
    <t>10000-0190</t>
  </si>
  <si>
    <t>10000-0191</t>
  </si>
  <si>
    <t>10000-0192</t>
  </si>
  <si>
    <t>10000-0196</t>
  </si>
  <si>
    <t>10000-0197</t>
  </si>
  <si>
    <t>10000-0198</t>
  </si>
  <si>
    <t>10000-0199</t>
  </si>
  <si>
    <t>10000-0200</t>
  </si>
  <si>
    <t>10000-0201</t>
  </si>
  <si>
    <t>10000-0202</t>
  </si>
  <si>
    <t>10000-0229</t>
  </si>
  <si>
    <t>10000-0230</t>
  </si>
  <si>
    <t>10000-0231</t>
  </si>
  <si>
    <t>10000-0232</t>
  </si>
  <si>
    <t>10000-0233</t>
  </si>
  <si>
    <t>10000-0234</t>
  </si>
  <si>
    <t>10000-0235</t>
  </si>
  <si>
    <t>10000-0236</t>
  </si>
  <si>
    <t>10000-0237</t>
  </si>
  <si>
    <t>10000-0238</t>
  </si>
  <si>
    <t>10000-0239</t>
  </si>
  <si>
    <t>10000-0240</t>
  </si>
  <si>
    <t>10000-0241</t>
  </si>
  <si>
    <t>10000-0242</t>
  </si>
  <si>
    <t>10000-0243</t>
  </si>
  <si>
    <t>10000-0244</t>
  </si>
  <si>
    <t>10000-0245</t>
  </si>
  <si>
    <t>10000-0246</t>
  </si>
  <si>
    <t>10000-0247</t>
  </si>
  <si>
    <t>10000-0250</t>
  </si>
  <si>
    <t>พัสดุ(3)</t>
  </si>
  <si>
    <t>ปี
(2)</t>
  </si>
  <si>
    <t>ชื่อคุณลักษณะ
(1)</t>
  </si>
  <si>
    <t>หน่วย
นับ</t>
  </si>
  <si>
    <t>ราคา
จัดซื้อ
(บาท)</t>
  </si>
  <si>
    <t>ราคาสืบ
(บาท)</t>
  </si>
  <si>
    <t>งานเข้า</t>
  </si>
  <si>
    <t>download
เอกสาร
PDF</t>
  </si>
  <si>
    <t>คำ
แนะนำ</t>
  </si>
  <si>
    <t>ผู้จัดทำ</t>
  </si>
  <si>
    <t>ระดับความพร้อม(5)</t>
  </si>
  <si>
    <t>ชื่อพัสดุ</t>
  </si>
  <si>
    <t>คู่เทียบ อย่างน้อย 2 บริษัท</t>
  </si>
  <si>
    <t>ข้อมูล ในแบบไฟล์เวิร์ด</t>
  </si>
  <si>
    <t>ข้อมูลเอกสาร จำนวน 16 ชุด</t>
  </si>
  <si>
    <t>รายละเอียดอื่นๆ</t>
  </si>
  <si>
    <t>ความหมายเลข Spec. (2ตัวแรก)</t>
  </si>
  <si>
    <t>ค้นหาความหมายเลข Spec.</t>
  </si>
  <si>
    <t>ระบุเลข 4 ตัว</t>
  </si>
  <si>
    <t>9999</t>
  </si>
  <si>
    <t>บริภัณฑ์ - อาจจะเป็นสายอื่น</t>
  </si>
  <si>
    <t>ครุภัณฑ์ - สาย ชย.</t>
  </si>
  <si>
    <t>วิธีการค้นหาข้อมูล Spec. เพื่อใช้งาน</t>
  </si>
  <si>
    <t xml:space="preserve">การค้นหาความหมายจากเลขพัสดุ โดยกดไปที่หน้าตรวจสอบคุณลักษณะ แล้วพิมพ์ รหัสพัสดุ 4 ตัวที่ต้องการทราบความหมาย แล้วกด ENTER ข้อมูลที่ได้ จะบอกประเภทของคุณลักษณะ ส่วนประกอบ และการใช้งานของพัสดุนั้น </t>
  </si>
  <si>
    <t xml:space="preserve">การค้นหาคุณลักษณะฯโดยการกรองข้อมูล กดไปที่หน้า 52 - 59 การค้นหาข้อมูลโดยการกรองสามารถทำได้ จาก  เลขพัสดุ 4 ตัว  กอง  เลขชย.ทอ. ที่  ปี  และชื่อพัสดุโดยเรียงจาก  ก - ฮ หรือ ฮ - ก ก็ได้เช่นกัน   ตัวกรองข้อมูลจะอยู่มุมบนสุดขวามือ   </t>
  </si>
  <si>
    <t>การเข้าถึงข้อมูล PDF - LINK โดยกดไปที่ PDF - LINK เพื่อไปยังหน้าข้อมูลที่ต้องการ แล้วเลือกคุณลักษณะที่ต้องการค้นหา  โดยข้อมูลที่อยู่ด้านบนสุดจะเป็นคุณลักษณะที่ได้มีการยกเลิกเรียบร้อยแล้ว ถ้าหากผู้ใช้งานต้องการข้อมูลดังกล่าวก็สามารถ ดับเบิ้ลคลิก เพื่อ LINK เข้าถึงข้อมูลได้เช่นกัน</t>
  </si>
  <si>
    <t>การเข้าเข้าถึงข้อมูลคำแนะนำ ให้กดไปที่ คำแนะนำ PDF - LINK ระบบจะเปิดไปยังหน้าข้อมูลที่มี แล้วดับเบิ้ลคลิก เพื่อเข้าถึงหน้าเนื้อหาของเรื่องที่ต้องการ</t>
  </si>
  <si>
    <t>การค้นหาข้อมูล</t>
  </si>
  <si>
    <t>หัวข้อ (ตาม sheet)</t>
  </si>
  <si>
    <t>ตัวคัดกรอง</t>
  </si>
  <si>
    <t>วิธีใช้งาน</t>
  </si>
  <si>
    <t>52-58</t>
  </si>
  <si>
    <t>- เลขพัสดุ -</t>
  </si>
  <si>
    <t xml:space="preserve">   - ใช้คัดกรองได้เฉพาะตัวเลข ของพัสดุนั้นๆ ใช่งานในกรณีที่ผู้ต้องการสเปคจำได้แค่เลขพัสดุแต่จำชื่อสเปคไม่ได้</t>
  </si>
  <si>
    <t>- กอง -</t>
  </si>
  <si>
    <t xml:space="preserve">   - ใช้คัดกรองสเปคของแต่ละกองว่ามีการออกสเปคไปทั้งหมดกี่ตัวในแต่ละปี และมีทั้งหมดกี่ปี</t>
  </si>
  <si>
    <t>- ชย.ทอ.ที่ -</t>
  </si>
  <si>
    <t xml:space="preserve">   - ใช้คัดกรองในกรณีที่ผู้ที่ต้องการสเปคเจาะจงรหัสพัสดุและปีที่ต้องการสเปค</t>
  </si>
  <si>
    <t>- ออกเมื่อปี -</t>
  </si>
  <si>
    <t xml:space="preserve">   - ใช่ค้นหาหรือคัดกรองสเปคในแต่ละปีที่เราอยากจะทราบข้อมูลว่าแต่ละปีมีสเปคทั้งหมดกี่ตัว</t>
  </si>
  <si>
    <t>- ชื่อคุณลักษณะ -</t>
  </si>
  <si>
    <t xml:space="preserve">   - ใช้ค้นหาในกรณีที่ไม่ทราบชื่อ สามารถค้นหาได้จากการคัดกรอง จาก ก-ฮ</t>
  </si>
  <si>
    <t>-PDF-Link</t>
  </si>
  <si>
    <t xml:space="preserve">- ใช้เชื่อมโยงข้อมูลสเปคโดยข้อมูลที่เก็บไว้จะเป็นไฟล์ PDF แล้วแยกข้อมูลของแต่ละสเปคโดยการใช้รหัสพัสดุ ถ้ารหัสพัสดุตัวเดียวกันข้อมูลจะถูกเก็บรวมกัน ทั้งสเปคตัวที่ยกเลิกไปแล้วและตัวที่ยังใช่งานจริง  </t>
  </si>
  <si>
    <t>-คำแนะนำ</t>
  </si>
  <si>
    <t>- ใช้ดูวิธีการใช้งานของสเปคแต่ละตัว เปรียบเหมือนคู่มือการใช้งาน โดยคู่มือนี้มากับเครื่องมือสเปค  โดยเลขาคณะกรรมการคำแนะนำจะเป็นผู้จัดทำรูปเล่มคำแนะนำ</t>
  </si>
  <si>
    <t>-อายุการใช้งาน</t>
  </si>
  <si>
    <t>- ใช้ตรวจสอบการใช้งานของสเปคว่าสามารถใช้งานได้กี่ปี   ถ้าเกิดเสื่อมโทรมก็จะต้องจัดทำสเปคใหม่</t>
  </si>
  <si>
    <t>ตรวจสอบคุณลักษณะ</t>
  </si>
  <si>
    <t>-ค้นหาสเปค 2 ตัว</t>
  </si>
  <si>
    <t xml:space="preserve">- ใช้ค้นหาความหมายของสเปค 2 ตัวแรก ที่เราอยากจะทราบข้อมูล    </t>
  </si>
  <si>
    <t xml:space="preserve">-ค้นหาสเปค 4 ตัว </t>
  </si>
  <si>
    <t>- ใช้ค้นหาสเปคที่เราอยากจะทราบความหมาย  โดยใส่รหัสพัสดุ 4 ตัว แล้วกด Enter  จะปรากฎความหมายของรหัสนั้นๆ  สามารจตรวจสอบได้ว่าสเปคที่เราต้องการมีความหมายตรงตามรหัสพัสดุหรือไม่</t>
  </si>
  <si>
    <t>Spec ที่ยกเลิกแล้ว</t>
  </si>
  <si>
    <t>-เลข Spec</t>
  </si>
  <si>
    <t xml:space="preserve">   - ใช้คัดกรองรหัสพัสดุ 4 ตัวที่เราอยากจะทราบชื่อและรายละเอียดของสเปค</t>
  </si>
  <si>
    <t>-ชย.ทอ.ที่</t>
  </si>
  <si>
    <t xml:space="preserve">   - ใช้ค้นหารหัสพัสดุ 4 ตัว และปีที่ได้ยกเลิกไปแล้ว</t>
  </si>
  <si>
    <t>-ชื่อคุณลักษณะ</t>
  </si>
  <si>
    <t xml:space="preserve">-ชื่อคุณลักษณะ   ใช้กรองตัวอักษร จาก ก-ฮ </t>
  </si>
  <si>
    <t>เลข Spec 2 ตัวแรก</t>
  </si>
  <si>
    <t>-เลขหมวด</t>
  </si>
  <si>
    <t>- ใช้กำหนดข้อมูลโดยมีรหัสพัสดุ จาก  10 - 99</t>
  </si>
  <si>
    <t>- รายละเอียดประจำเลขหมวด 2 ตัวแรก  ใช้บอกความหมายรหัส 2 ตัว จาก 10 - 99</t>
  </si>
  <si>
    <t>เลข Spec 4 ตัว</t>
  </si>
  <si>
    <t>-เลขหมวด     ใช้กำหนดข้อมูลโดยมีรหัสพัสดุ จาก  1005 - 9999</t>
  </si>
  <si>
    <t>-รายละเอียดคุณลักษณะชื่อพัสดุ       ใช้บอกถึงความหมายรหัส 4 ตัวของพัสดุ  และบ่งชี้ถึงการกำหนดชื่อของสเปคที่ต้องการ</t>
  </si>
  <si>
    <t>แก้ไข</t>
  </si>
  <si>
    <t xml:space="preserve">-แก้ไข   ใช้ค้นหาข้อมูล โดยกดเข้าไปที่  "ค้นหาและแทนที่" โดยพิมพ์ชื่อหรือขนาด  หรือลักษณะพิเศษต่างๆ ของสเปคที่ต้องการค้นหา  แล้วกดตรงปุ่ม ค้นหา ถ้ามีข้อมูลตรงตามที่เราค้นหา ข้อมูลนั้นก็จะลิงค์ขึ้นมาที่หน้าจอโดยอัตโนมัติ </t>
  </si>
  <si>
    <t>ขั้นตอนการจัดทำ</t>
  </si>
  <si>
    <t xml:space="preserve">     1.  ทางหนวยที่ต้องการสเปคต้องทำหนังสือบันทึกข้อความ เรื่อง  ขอให้พิจารณากำหนดคุณลักษณะเฉพาะพัสดุช่างโยธา</t>
  </si>
  <si>
    <t xml:space="preserve">     2.  บันทึกข้อความที่ส่งมา ขอให้พิจารณากำหนกคุณลักษณะเฉพาะพัสดุช่างโยธา จะต้องประกอบไปด้วย แบบฟอร์มจัดทำสเปค, ร่างสเปค, คู้เทียบต้องมีอย่างน้อย 3 บริษัท  </t>
  </si>
  <si>
    <t xml:space="preserve">     3.  ไฟล์ข้อมูล   หลังจากที่ทางหนวยผู้ต้องการสเปคส่งเรื่องเป็นบันทึกข้อความมาแล้ว จะต้องส่งไฟล์ข้อมูลที่เป็น microsoft word มาด้วย เพื่อจะนำมาปรับแก้ในวันประชุม</t>
  </si>
  <si>
    <t xml:space="preserve">     4.  ในการส่งข้อมูลแบบฟอร์มจะต้องแนบ ร่างสเปคและคู่เทียบจำนวน 15 ชุดมาด้วยทุกครั้ง</t>
  </si>
  <si>
    <t xml:space="preserve">     5.  เมื่อทางหนวยที่ร้องขอสเปคส่งข้อมูลให้ครบแล้ว  ก็สามารถกำหนดวันที่จะประชุมและทำหนังสือเชิญประชุมแจ้งให้แก่คณะกรรมการมาประชุมเพื่อลงมติ  ปรับปรุงแก้ไขสเปคต่อไป  </t>
  </si>
  <si>
    <t xml:space="preserve">     6.  เข้าที่ประชุมคณะกรรมการจะมีการตรวจสอบ  เลขสเปคและความหมายว่าสอดคล้องกับชนิดสเปคและชื่อที่ขอมาหรือไม่  โดยตรวจสอบได้จาก google drive ในส่วนของคุณลักษณะเฉพาะ ชย.ทอ. ช่องตรวจสอบเลขคุณลักษณะ โดยใส่เลขสเปคและ ลำดับ หากในปีนั้นๆ ยังไม่มีสเปครหัส....  อกมาให้ใส่เป็น  1/..... ปีที่จัดทำ</t>
  </si>
  <si>
    <t xml:space="preserve">     7.  เมื่อแก้ไขจากการประชุมเสร็จ  ก็นำมาเข้าแบบฟอร์มตามที่เรากำหนดไว้แล้วทำหนังสือเรียนไปตามลำดับชั้น  (กรณีที่มี 2 แผ่นขึ้นไป ผอ.กวก.ชย.ทอ. จะต้องเซ็นสลักทุกแผ่น เพื่อกันการปลอมแปลงเอกสาร)</t>
  </si>
  <si>
    <t xml:space="preserve">     8.  ในกรณีที่ปรับปรุงสเปคมาจากเรื่องเดิมที่เคยทำมา เนื่องจากเรื่องเดิมมี บนอ.หรือล่าสมัย ให้ (ยกเลิก) เรื่องเดิมพร้อมแนบสเปคตัวที่ยกเลิกไปพร้อมกับตัวที่ขออนุมัติใหม่  พร้อมไฮไลท์สีในสเปคตัวเดิมให้ทราบถึงความแตกต่าง</t>
  </si>
  <si>
    <t xml:space="preserve">     9.  ลำดับสุดท้ายคือ จก.ชย.ทอ. อนุมัติ  เมื่อเสร็จเรียบร้อย ทาง ผจง.กวก.ชย.ทอ. จะสแกนเป็น PDF  แล้วเก็บข้อมูลไว้ใน google drive ในส่วนของคุณลักษณะเฉพาะ ชย.ทอ. และส่งให้หน่วยที่ขอสเปคต่อไป</t>
  </si>
  <si>
    <t xml:space="preserve">    10.  สเปคที่เป็นไฟล์ PDF จะถูกส่งไปอัพเดทข้อมูลใหม่ๆ ในเว็ป ชย.ทอ. เสมอ</t>
  </si>
  <si>
    <t>หน่วยที่ใช่</t>
  </si>
  <si>
    <t>รูปแแบบที่ใช้ในการออกคุณลักษณะฯ</t>
  </si>
  <si>
    <t>รูปแบบอืนๆ ที่พบ</t>
  </si>
  <si>
    <t>เรื่อง</t>
  </si>
  <si>
    <t>เลข</t>
  </si>
  <si>
    <t>กิโลกรัม</t>
  </si>
  <si>
    <t>น้ำหนัก</t>
  </si>
  <si>
    <t>กิโลกรัมต่อเมตร</t>
  </si>
  <si>
    <t>กิโลกรัม-เมตร</t>
  </si>
  <si>
    <t>กิโลเมตรต่อชั่วโมง</t>
  </si>
  <si>
    <t>เวลา</t>
  </si>
  <si>
    <t>กิโลวัตต์</t>
  </si>
  <si>
    <t>เกียร์</t>
  </si>
  <si>
    <t>ค่า pH เป็นค่าที่แสดงความเป็นกรด-เบส</t>
  </si>
  <si>
    <t>pH</t>
  </si>
  <si>
    <t>จิกะไบต์</t>
  </si>
  <si>
    <t>GB</t>
  </si>
  <si>
    <t>ชั่วโมง</t>
  </si>
  <si>
    <t>ชม.</t>
  </si>
  <si>
    <t>เซนติเมตร</t>
  </si>
  <si>
    <t>เดซิเบล</t>
  </si>
  <si>
    <t>dB</t>
  </si>
  <si>
    <t>ตัน</t>
  </si>
  <si>
    <t>เทระไบต์ (Terabyte)</t>
  </si>
  <si>
    <t>TB</t>
  </si>
  <si>
    <t>นาที</t>
  </si>
  <si>
    <t>MINUTES</t>
  </si>
  <si>
    <t>นิ้ว</t>
  </si>
  <si>
    <t>เสียง</t>
  </si>
  <si>
    <t>บีทียูต่อชั่วโมง</t>
  </si>
  <si>
    <t>บีทียู/ชม.  (BTU/Hr.)</t>
  </si>
  <si>
    <t>ปอนด์</t>
  </si>
  <si>
    <t>ความจุ</t>
  </si>
  <si>
    <t>ไฟฟ้ากระแสตรง (direct current: DC)</t>
  </si>
  <si>
    <t>ไฟฟ้ากระแสตรง (DC)</t>
  </si>
  <si>
    <t>ไฟฟ้ากระแสสลับ (alternating current: AC)</t>
  </si>
  <si>
    <t>ไฟฟ้ากระแสสลับ (AC)</t>
  </si>
  <si>
    <t>มิลลิเมตร</t>
  </si>
  <si>
    <t>มีช่องเชื่อมต่อ(PORT)</t>
  </si>
  <si>
    <t>เมกะไบต์</t>
  </si>
  <si>
    <t>MB</t>
  </si>
  <si>
    <t>เมตร</t>
  </si>
  <si>
    <t>ม.</t>
  </si>
  <si>
    <t>METERS , เมตร</t>
  </si>
  <si>
    <t>สารเคมี</t>
  </si>
  <si>
    <t>รอบต่อนาที</t>
  </si>
  <si>
    <t>รูปแบบภาษอังกฤษที่ใช้</t>
  </si>
  <si>
    <t>เป็นตัวพิมพ์ใหญ่เท่านั้น</t>
  </si>
  <si>
    <t>ระยะทาง</t>
  </si>
  <si>
    <t>แรงม้า</t>
  </si>
  <si>
    <t>ลิตร</t>
  </si>
  <si>
    <t>ไฟฟ้า</t>
  </si>
  <si>
    <t>ลูกบาศก์ฟุตต่อนาที</t>
  </si>
  <si>
    <t>ลูกบาศก์ฟุตต่อนาที (CFM.)</t>
  </si>
  <si>
    <t>ลูกบาศก์เมตร</t>
  </si>
  <si>
    <t>ลบ.ม.</t>
  </si>
  <si>
    <t>วัตต์</t>
  </si>
  <si>
    <t>W</t>
  </si>
  <si>
    <t>จำนวน</t>
  </si>
  <si>
    <t>วินาที</t>
  </si>
  <si>
    <t>SECONDS</t>
  </si>
  <si>
    <t>โวลต์</t>
  </si>
  <si>
    <t>VAC</t>
  </si>
  <si>
    <t>V</t>
  </si>
  <si>
    <t>โวลท์</t>
  </si>
  <si>
    <t>v</t>
  </si>
  <si>
    <t>องศา</t>
  </si>
  <si>
    <t>แอมแปร์ต่อชั่วโมง</t>
  </si>
  <si>
    <t>แอมแปร์-ชั่วโมง</t>
  </si>
  <si>
    <t>แอมแปร์ (ampere)</t>
  </si>
  <si>
    <t>แอมแปร์</t>
  </si>
  <si>
    <t>Ah</t>
  </si>
  <si>
    <t>เฮิร์ต</t>
  </si>
  <si>
    <t>Hz</t>
  </si>
  <si>
    <t>arcminute</t>
  </si>
  <si>
    <t>ลิปดา</t>
  </si>
  <si>
    <t>arcsecond</t>
  </si>
  <si>
    <t>ฟิลิปดา</t>
  </si>
  <si>
    <t>Bit</t>
  </si>
  <si>
    <t>Bit Error Rate</t>
  </si>
  <si>
    <t>BER</t>
  </si>
  <si>
    <t>BTU</t>
  </si>
  <si>
    <t>บีทียู</t>
  </si>
  <si>
    <t>Decibel-milliwatt</t>
  </si>
  <si>
    <t>dBm</t>
  </si>
  <si>
    <t>degree</t>
  </si>
  <si>
    <t>degree Celsius</t>
  </si>
  <si>
    <t>องศาเซลเซียส</t>
  </si>
  <si>
    <t>Dot Per Inch</t>
  </si>
  <si>
    <t>DPI</t>
  </si>
  <si>
    <t>Fahrenheit</t>
  </si>
  <si>
    <t>องศาฟาเรนไฮต์</t>
  </si>
  <si>
    <t>gigahertz (กิกะเฮิร์ตซ์)</t>
  </si>
  <si>
    <t>GHz</t>
  </si>
  <si>
    <t>horsepower</t>
  </si>
  <si>
    <t>Hydraulics</t>
  </si>
  <si>
    <t>ไฮโดรลิค</t>
  </si>
  <si>
    <t>Hz(hertz)เฮิร์ตซ์</t>
  </si>
  <si>
    <t>Kilohertz</t>
  </si>
  <si>
    <t>kHz</t>
  </si>
  <si>
    <t>Kilohertz  (กิโลเฮิร์ทซ์)</t>
  </si>
  <si>
    <t>KHz</t>
  </si>
  <si>
    <t>kilowatt</t>
  </si>
  <si>
    <t>kilowatt  (กิโลวัตต์)</t>
  </si>
  <si>
    <t>liter</t>
  </si>
  <si>
    <t>m = มิลลิ , A = แอมป์ , h = ชั่วโมง</t>
  </si>
  <si>
    <t>mAh</t>
  </si>
  <si>
    <t>Megahertz</t>
  </si>
  <si>
    <t>MHz</t>
  </si>
  <si>
    <t>megahertz (เมกกะเฮิร์ตซ)</t>
  </si>
  <si>
    <t>Part Per Million</t>
  </si>
  <si>
    <t>PPM</t>
  </si>
  <si>
    <t xml:space="preserve">percent </t>
  </si>
  <si>
    <t>เปอร์เซ็นต์</t>
  </si>
  <si>
    <t>%</t>
  </si>
  <si>
    <t>Potential of Hydrogen ion</t>
  </si>
  <si>
    <t>Ph</t>
  </si>
  <si>
    <t>signal in noise and distortion</t>
  </si>
  <si>
    <t>SINAD</t>
  </si>
  <si>
    <t>TDMA (TIME DIVISIONMULTIPLE ACCESS)</t>
  </si>
  <si>
    <t>TIA (TELECOMMUNICATION INDUSTRY ASSOCIATION)</t>
  </si>
  <si>
    <t>switch</t>
  </si>
  <si>
    <t>สวิตช์</t>
  </si>
  <si>
    <t>รายการคุณลักษณะเฉพาะพัสดุ สายช่างโยธา</t>
  </si>
  <si>
    <t>(ปรับปรุง - มิ.ย. ๒๕๕๘)</t>
  </si>
  <si>
    <t xml:space="preserve">หมายเลขจำแนกพัสดุ ประเภท </t>
  </si>
  <si>
    <t>ปี(2)</t>
  </si>
  <si>
    <t>หน่วย</t>
  </si>
  <si>
    <t>ราคา
ราชการ</t>
  </si>
  <si>
    <t>รับเรื่อง</t>
  </si>
  <si>
    <t>เอกสาร
คู่เทียบ 3 ยี่ห้อ</t>
  </si>
  <si>
    <t>รวม</t>
  </si>
  <si>
    <t>อายุ
ใช้งาน
(ปี)</t>
  </si>
  <si>
    <t>ควรจัดซื้อใหม่ปี(-2)</t>
  </si>
  <si>
    <t>3085 1/33(ยกเลิก)</t>
  </si>
  <si>
    <t>รถขุดตักชนิดล้อยาง  ขนาด  70  แรงม้า</t>
  </si>
  <si>
    <t>3432 1/1/33(ยกเลิก)</t>
  </si>
  <si>
    <t>เครื่องเชื่อมไฟฟ้า  (ระบบไฟฟ้า  220  V  1  PH  50  Hz)</t>
  </si>
  <si>
    <t>ผู้ดูแลฯ</t>
  </si>
  <si>
    <t>Spec.1
(ยี่ห้อ)</t>
  </si>
  <si>
    <t>3470 2/1/33(ยกเลิก)</t>
  </si>
  <si>
    <t>ราคาสืบ</t>
  </si>
  <si>
    <t>ชุดปาดบ่าลิ้น</t>
  </si>
  <si>
    <t>Spec.2
(ยี่ห้อ)</t>
  </si>
  <si>
    <t>Spec.3
(ยี่ห้อ)</t>
  </si>
  <si>
    <t>Spec.4
(ยี่ห้อ)</t>
  </si>
  <si>
    <t>3470 1/1/33(ยกเลิก)</t>
  </si>
  <si>
    <t>ชุดเหล็กดูด  ถอดใบพัดลม</t>
  </si>
  <si>
    <t>3740 1/2/33(ยกเลิก)</t>
  </si>
  <si>
    <t>ถังฉีดน้ำยากำจัดปลวก  ชนิดปั้มลมด้วยมือ</t>
  </si>
  <si>
    <t>3805 1/4/33(ยกเลิก)</t>
  </si>
  <si>
    <t>สายพานตีนตะขาบ</t>
  </si>
  <si>
    <t>3895 1/1/33(ยกเลิก)</t>
  </si>
  <si>
    <t>รถบดล้อเหล็ก  ขนาด  8  ตัน</t>
  </si>
  <si>
    <t>3895 2/1/33(ยกเลิก)</t>
  </si>
  <si>
    <t>รถผสมคอนกรีต</t>
  </si>
  <si>
    <t>3950 1/1/33(ยกเลิก)</t>
  </si>
  <si>
    <t>รอกโซ่  ขนาด  5  ตัน</t>
  </si>
  <si>
    <t>4120 420/33(ยกเลิก)</t>
  </si>
  <si>
    <t>เครื่องปรับอากาศระบบน้ำเย็นระบายความร้อนด้วยอกาาศ  (AIR  COOLED  WATER  CHILLER)  ขนาด</t>
  </si>
  <si>
    <t>4120 422/33(ยกเลิก)</t>
  </si>
  <si>
    <t>4210 3/1/33(ยกเลิก)</t>
  </si>
  <si>
    <t>เครื่องดับเพลิงอัตโนมัติด้วยแก๊ส  HALON  1301</t>
  </si>
  <si>
    <t>4210 9/3/33(ยกเลิก)</t>
  </si>
  <si>
    <t>น้ำยาดับเพลิงโฟม ชนิด ALCOHOL TYPE COHCEHTRATE</t>
  </si>
  <si>
    <t>4210 12/1/33(ยกเลิก)</t>
  </si>
  <si>
    <t>สายดับเพลิง  (FIRE  HOSE)   ชนิดข้อต่อสวมเร็ว  (INSTANTANEOUS  COUPLINGS)</t>
  </si>
  <si>
    <t>4310 1/3/34(ยกเลิก)</t>
  </si>
  <si>
    <t>เครื่องทำสูญญากาศ  1  ชั้น  (SINGLE  STAGE  VACUUM  PUMP)</t>
  </si>
  <si>
    <t>4310 1/4/34(ยกเลิก)</t>
  </si>
  <si>
    <t>4461 2/1/33(ยกเลิก)</t>
  </si>
  <si>
    <t>เครื่องฟอกอากาศ  (ELECTROSTATIC  AIR  CLEANER)  ใช้ระบบไฟฟ้า  220  V.  1  PH.  50  Hz)</t>
  </si>
  <si>
    <t>4520 2/1/33(ยกเลิก)</t>
  </si>
  <si>
    <t>เครื่องผลิตไอน้ำ  ขนาด  250  HP.  (ระบบไฟฟ้า  380  V-50  Hz)</t>
  </si>
  <si>
    <t>4520 1/1/33(ยกเลิก)</t>
  </si>
  <si>
    <t>แท่งเซรามิคทำความร้อน รังสัอินฟราเรดคลื่นยาว  (INFRARED  CERAMIC  HEATER)  ขนาด  500  ว</t>
  </si>
  <si>
    <t>4610 1/1/33(ยกเลิก)</t>
  </si>
  <si>
    <t>เครื่องแยกตะกอนแบบรับแรงดัน  (PRESSURE  TYPE)  ขนาด  30 ม.  ชม</t>
  </si>
  <si>
    <t>4930 1/33(ยกเลิก)</t>
  </si>
  <si>
    <t>เครื่องอัดไข</t>
  </si>
  <si>
    <t>4940 2/1/33(ยกเลิก)</t>
  </si>
  <si>
    <t>ชุดพ่นสีเม็ดทราย</t>
  </si>
  <si>
    <t>5110 3/3/33(ยกเลิก)</t>
  </si>
  <si>
    <t>คีมตัดสายไฟฟ้า</t>
  </si>
  <si>
    <t>5110 3/1/33(ยกเลิก)</t>
  </si>
  <si>
    <t>เครื่องมือปอกสายไฟฟ้า  แบบ  STRIPMASTER  ขนาด  NO.10-22  AWG</t>
  </si>
  <si>
    <t>5110 3/2/33(ยกเลิก)</t>
  </si>
  <si>
    <t>เครื่องมือปอกสายไฟฟ้า  แบบ  STRIPMASTER  ขนาด  NO. 8-12  AWG</t>
  </si>
  <si>
    <t>5130 10/2/33(ยกเลิก)</t>
  </si>
  <si>
    <t>เครื่องย้ำหมุดมือถือชนิดกระแทก</t>
  </si>
  <si>
    <t>5130 2/1/33(ยกเลิก)</t>
  </si>
  <si>
    <t>เครื่องเลื่อยยนต์ชนิดโซ่</t>
  </si>
  <si>
    <t>5136 1/1/33(ยกเลิก)</t>
  </si>
  <si>
    <t>เครื่องทำเกียวในชนิดมือหมุน  ขนาด  1_8'  -  3_4'</t>
  </si>
  <si>
    <t>5210 2/1/33(ยกเลิก)</t>
  </si>
  <si>
    <t>มาตรวัดความละเอียด</t>
  </si>
  <si>
    <t>5335 1/1/33(ยกเลิก)</t>
  </si>
  <si>
    <t>ขุดตะแกรงร่อน</t>
  </si>
  <si>
    <t>5335 1/2/33(ยกเลิก)</t>
  </si>
  <si>
    <t>ตะแกรงร่อนวัสดุ</t>
  </si>
  <si>
    <t>5345 2/1/33(ยกเลิก)</t>
  </si>
  <si>
    <t>หินเจียรไนไฟฟ้าชนิดตั้งโต๊ะ  (ระบบไฟฟ้า  220  V  1  PH  50  Hz)</t>
  </si>
  <si>
    <t>6125 5/1/33(ยกเลิก)</t>
  </si>
  <si>
    <t>เครื่องปรับแต่งและจ่ายกระแสไฟฟ้าสำรอง  (UPS)  ขนาด  20  KVA</t>
  </si>
  <si>
    <t>6125 5/5/33(ยกเลิก)</t>
  </si>
  <si>
    <t>เครื่องปรับแต่งและจ่ายกระแสไฟฟ้าสำรอง  (UPS)  ขนาด  3  KVA</t>
  </si>
  <si>
    <t>6130 3/1/33(ยกเลิก)</t>
  </si>
  <si>
    <t>เครื่องประจุไฟแบตเตอรี่  (BATTERY  CHARGERS)</t>
  </si>
  <si>
    <t>6630 1/2/33(ยกเลิก)</t>
  </si>
  <si>
    <t>เครื่องต้มและกรองน้ำมันหม้อแปลง</t>
  </si>
  <si>
    <t>6630 2/4/33(ยกเลิก)</t>
  </si>
  <si>
    <t>เครื่องทดลองหาปริมาณคลอรีนตกค้างในน้ำ</t>
  </si>
  <si>
    <t>6630 2/3/33(ยกเลิก)</t>
  </si>
  <si>
    <t>เครื่องมือหาอัตราความขุ่นของน้ำ</t>
  </si>
  <si>
    <t>6630 2/2/33(ยกเลิก)</t>
  </si>
  <si>
    <t>เครื่องมือหาอัตราส่วนผสมของสารเคมีในน้ำ</t>
  </si>
  <si>
    <t>6635 4/1/33(ยกเลิก)</t>
  </si>
  <si>
    <t>เครื่องทดสอบหาแรงดึงยางหยอดรอยต่อ</t>
  </si>
  <si>
    <t>6635 5/1/33(ยกเลิก)</t>
  </si>
  <si>
    <t>เครื่องมือวิจัย  และออกแบบวิศวกรรมโยธา</t>
  </si>
  <si>
    <t>6635 5/2/33(ยกเลิก)</t>
  </si>
  <si>
    <t>6635 3/1/33(ยกเลิก)</t>
  </si>
  <si>
    <t>เครื่องมือหาค่าความหนืด  แบบเซโบลท์  (SAYBOLT)</t>
  </si>
  <si>
    <t>6635 3/2/33(ยกเลิก)</t>
  </si>
  <si>
    <t>เครื่องมือหาค่าความหนืด  แบบ  KINEMATIC</t>
  </si>
  <si>
    <t>6635 3/3/33(ยกเลิก)</t>
  </si>
  <si>
    <t>เครื่องมือ  RING  AND  BALL</t>
  </si>
  <si>
    <t>6635 3/5/33(ยกเลิก)</t>
  </si>
  <si>
    <t>เครื่องมือ   SPLIT  FORMERS  และ  SPLIT  MOLDS</t>
  </si>
  <si>
    <t>6635 4/2/33(ยกเลิก)</t>
  </si>
  <si>
    <t>เครื่องวัดความต้านทานของดิน</t>
  </si>
  <si>
    <t>6635 3/4/33(ยกเลิก)</t>
  </si>
  <si>
    <t>HIGH  SPEED  CENTRIFUGE  พร้อมอุปกรณ์</t>
  </si>
  <si>
    <t>6635 3/6/33(ยกเลิก)</t>
  </si>
  <si>
    <t>MOTORIZED  SOIL  LATHE</t>
  </si>
  <si>
    <t>6670 1/33(ยกเลิก)</t>
  </si>
  <si>
    <t>เครื่องชั่ง  ขนาด  20  กิโลกรัม</t>
  </si>
  <si>
    <t>6670 2/33(ยกเลิก)</t>
  </si>
  <si>
    <t>เครื่องชั่งหา  ถ.พ.  ของแอสฟัลท์ติก</t>
  </si>
  <si>
    <t>6680 1/1/33(ยกเลิก)</t>
  </si>
  <si>
    <t>มาตรวัดน้ำแบบเคลื่อนย้ายได้</t>
  </si>
  <si>
    <t>6680 2/1/33(ยกเลิก)</t>
  </si>
  <si>
    <t>PORE  PRESSURE  METER</t>
  </si>
  <si>
    <t>6680 3/1/33(ยกเลิก)</t>
  </si>
  <si>
    <t>PRESSURE  TRANSDUCERS</t>
  </si>
  <si>
    <t>6685 2/1/33(ยกเลิก)</t>
  </si>
  <si>
    <t>เทอร์โมมิเตอร์ขนาดต่าง ๆ</t>
  </si>
  <si>
    <t>6850 1/1/33(ยกเลิก)</t>
  </si>
  <si>
    <t>สารผลิตคลอรีนไดอ๊อกไซด์</t>
  </si>
  <si>
    <t>2320 3/2/34(ยกเลิก)</t>
  </si>
  <si>
    <t>รถกระเช้าสำหรับตรวจสอบซ่อมไฟฟ้า</t>
  </si>
  <si>
    <t>2320 2/1/34(ยกเลิก)</t>
  </si>
  <si>
    <t>รถบรรทุกขยะ  ขนาด  15  ลูกบาศก์เมตร</t>
  </si>
  <si>
    <t>3220 1/1/34(ยกเลิก)</t>
  </si>
  <si>
    <t>เครื่องดูดขี้กบและฝุ่น</t>
  </si>
  <si>
    <t>3220 1/2/34(ยกเลิก)</t>
  </si>
  <si>
    <t>เครื่องไส  และปรับไม้</t>
  </si>
  <si>
    <t>3230 5/3/34(ยกเลิก)</t>
  </si>
  <si>
    <t>เครื่องเลื่อยไม้</t>
  </si>
  <si>
    <t>3405 1/1/34(ยกเลิก)</t>
  </si>
  <si>
    <t>เครื่องเลื่อยไฟฟ้า</t>
  </si>
  <si>
    <t>3413 5/1/34(ยกเลิก)</t>
  </si>
  <si>
    <t>ชุดเจาะรูโลหะแผ่น  (HYDRAULIC  KNOCKOUT  PUNCHES  SET)</t>
  </si>
  <si>
    <t>3439 1/5/34(ยกเลิก)</t>
  </si>
  <si>
    <t>หัวแร้งไฟฟ้าบัดกรี  แบบแช่</t>
  </si>
  <si>
    <t>3439 1/2/34(ยกเลิก)</t>
  </si>
  <si>
    <t>หัวแร้งไฟฟ้า  แบบแช่  (ขนาด  30   W)</t>
  </si>
  <si>
    <t>3439 1/6/34(ยกเลิก)</t>
  </si>
  <si>
    <t>หัวแร้งไฟฟ้าแบบปืน</t>
  </si>
  <si>
    <t>3442 1/1/34(ยกเลิก)</t>
  </si>
  <si>
    <t>ชุดเหล็กดูด  แบบไฮดรอลิค  ขนาด  50  ตัน</t>
  </si>
  <si>
    <t>3750 1/3/34(ยกเลิก)</t>
  </si>
  <si>
    <t>รถตัดหญ้าล้อจักรยานชนิดเข็น  ขนาด  8  แรงม้า</t>
  </si>
  <si>
    <t>3895 1/3/34(ยกเลิก)</t>
  </si>
  <si>
    <t>รถบดล้อยางขับเคลื่อนด้วยตัวเอง  ขนาด  8  -  10  ตัน</t>
  </si>
  <si>
    <t>3920 1/1/34(ยกเลิก)</t>
  </si>
  <si>
    <t>เครนแบบเคลื่อนที่</t>
  </si>
  <si>
    <t>3930 1/5/34(ยกเลิก)</t>
  </si>
  <si>
    <t>รถยกไฟฟ้า  แบบใช้แบตเตอรี่ชนิดยืนขับ  (ELECTRIC  NARROW  AISLE  REACH  TRUCKS)  ขนาด  3</t>
  </si>
  <si>
    <t>3950 1/6/33(ยกเลิก)</t>
  </si>
  <si>
    <t>ก.  รอกยกหม้อแปลงชนิดมือโยก  ขนาด  2  ตัน</t>
  </si>
  <si>
    <t>4120 529/34(ยกเลิก)</t>
  </si>
  <si>
    <t>เครื่องทำน้ำเย็นระบบระบายความร้อนด้วยน้ำ  WATER  COOLED  WATER  CHILLER)</t>
  </si>
  <si>
    <t>4120 424/34(ยกเลิก)</t>
  </si>
  <si>
    <t>ระบบทำความเย็น  แบบ  AIR  COOLED  WATER  CHILLER  ขนาด  1152000  บีทียู.-ชม</t>
  </si>
  <si>
    <t>4210 7/1/34(ยกเลิก)</t>
  </si>
  <si>
    <t>ขวานดับเพลิง</t>
  </si>
  <si>
    <t>4210 12/2/34(ยกเลิก)</t>
  </si>
  <si>
    <t>สายดับเพลิง  (FIRE  HOSE)</t>
  </si>
  <si>
    <t>4240 1/1/34(ยกเลิก)</t>
  </si>
  <si>
    <t>ชุดเครื่องถ่าง ตัดก้ามปูยนต์  ชนิดไฮดรอลิค  (เครื่องมือช่วยชีวิตประจำรถดับเพลิง)</t>
  </si>
  <si>
    <t>4240 1/2/34(ยกเลิก)</t>
  </si>
  <si>
    <t>ชุดเครื่องถ่าง ตัดก้ามปูยนต์  ชนิดไฮดรอลิค  (เครื่องมือช่วยชีวิตประจำเฮลิคอบเตอร์)</t>
  </si>
  <si>
    <t>4310 2/1/34(ยกเลิก)</t>
  </si>
  <si>
    <t>ชุดความดันน้ำยางทางสูงและทางต่ำ</t>
  </si>
  <si>
    <t>4320 2/13/34(ยกเลิก)</t>
  </si>
  <si>
    <t>เครื่องสูบน้ำแบบ  VERTICAL  MULTISTAGE  CENTRIFUGAL  ขนาด  5.5  แรงม้า  (ระบบไฟ  380</t>
  </si>
  <si>
    <t>4320 3/1/34(ยกเลิก)</t>
  </si>
  <si>
    <t>เครื่องสูบน้ำ  TURBINE  PUMP  ขนาด  60  แรงม้า  (ระบบไฟฟ้า  380  V  3  PH  50  Hz)</t>
  </si>
  <si>
    <t>4430 1/1/34(ยกเลิก)</t>
  </si>
  <si>
    <t>เตาอบแบบควบคุมอุณหภมิ</t>
  </si>
  <si>
    <t>4460 2/1/34(ยกเลิก)</t>
  </si>
  <si>
    <t>เครื่องฟอกอากาศ  (ELECTROSTATIC  AIR  CLEANER)</t>
  </si>
  <si>
    <t>4520 2/1/34(ยกเลิก)</t>
  </si>
  <si>
    <t>เครื่องทำน้ำร้อน</t>
  </si>
  <si>
    <t>4530 1/1/34(ยกเลิก)</t>
  </si>
  <si>
    <t>เครื่องฉีดน้ำแรงดันสูง  ขนาดไม่น้อยกว่า  180  บาร์</t>
  </si>
  <si>
    <t>4610 2/1/34(ยกเลิก)</t>
  </si>
  <si>
    <t>เครื่องผลิตน้ำประปา  ขนาด  4  ลบ.ม. - ชม</t>
  </si>
  <si>
    <t>4610 1/1/34(ยกเลิก)</t>
  </si>
  <si>
    <t>ชุดจ่ายสารเคมีลงในน้ำ  ขนาด  40 ลิตร  -  ชม.  (ระบบไฟฟ้า  220  V. 1  PH  50  Hz)</t>
  </si>
  <si>
    <t>ชุดผสมสารเคมี</t>
  </si>
  <si>
    <t>4910 1/2/34(ยกเลิก)</t>
  </si>
  <si>
    <t>แม่แรงขนาด  180  ตัน</t>
  </si>
  <si>
    <t>4910 1/1/34(ยกเลิก)</t>
  </si>
  <si>
    <t>แม่แรงไฮดรอลิค</t>
  </si>
  <si>
    <t>4940 1/1/34(ยกเลิก)</t>
  </si>
  <si>
    <t>ที่ยกลิ้นรูปตัว  C  (C  -  CLAMP  VALVE  LIFTER)</t>
  </si>
  <si>
    <t>5110 2/1/34(ยกเลิก)</t>
  </si>
  <si>
    <t>เครื่องตัดท่อทองแดง  (ขนาด  1_8'  -  5_8')</t>
  </si>
  <si>
    <t>5120 1/1/34(ยกเลิก)</t>
  </si>
  <si>
    <t>เครื่องตักกระเบื้องเคลือบด้วยมือ</t>
  </si>
  <si>
    <t>5130 2/4/34(ยกเลิก)</t>
  </si>
  <si>
    <t>สว่านชนิดใช้ลม</t>
  </si>
  <si>
    <t>5133 1/1/34(ยกเลิก)</t>
  </si>
  <si>
    <t>เครื่องขยายท่อทองแดง  (ขนาด  1_4  -  5_8  นิ้ว)</t>
  </si>
  <si>
    <t>5220 3/1/34(ยกเลิก)</t>
  </si>
  <si>
    <t>เครื่องตรวจสอบการรั่วไหลภายในกระบอกสูบเครื่องยนต์</t>
  </si>
  <si>
    <t>5220 3/2/34(ยกเลิก)</t>
  </si>
  <si>
    <t>เครื่องตรวจสอบ  ALIGNMENT</t>
  </si>
  <si>
    <t>5220 4/1/34(ยกเลิก)</t>
  </si>
  <si>
    <t>เครื่องมือการตรวจสอบเคเบิ้ล  (CABLE  FAULT  LOCATOR)</t>
  </si>
  <si>
    <t>5220 2/1/34(ยกเลิก)</t>
  </si>
  <si>
    <t>เครื่องวัดกำลังอัดเครื่องยนต์ดีเซล</t>
  </si>
  <si>
    <t>5220 5/1/34(ยกเลิก)</t>
  </si>
  <si>
    <t>เครื่องวัด  CAPPILLARY</t>
  </si>
  <si>
    <t>5660 1/1/34(ยกเลิก)</t>
  </si>
  <si>
    <t>ลวดหนามหีบเพลง</t>
  </si>
  <si>
    <t>5920 1/5/34(ยกเลิก)</t>
  </si>
  <si>
    <t>ชุดกรองหรือแยกแรงไฟฟ้ากระโชก  ขนาด  100  AMP  (ระบบไฟฟ้า  220  V 1 PH 2  WIRE  50  Hz)</t>
  </si>
  <si>
    <t>6110 3/1/34(ยกเลิก)</t>
  </si>
  <si>
    <t>เครื่องควบคุมแรงเคลื่อนไฟฟ้าอัตโนมัติ  ขนาด  375  เค.วี.เอ.  (ระบบไฟฟ้า  220-380  V.  3</t>
  </si>
  <si>
    <t>6230 1/1/34(ยกเลิก)</t>
  </si>
  <si>
    <t>ไฟสัญญาณ  (SIGNAL  LIGHT  GUN)  หรือ  AIRCRAFT  TRAFFIC  LIGHT  หรือ  (SIGNALLING  LAMP</t>
  </si>
  <si>
    <t>6620 1/1/34(ยกเลิก)</t>
  </si>
  <si>
    <t>อุปกรณ์เช็คหัวฉีด</t>
  </si>
  <si>
    <t>6630 3/1/34(ยกเลิก)</t>
  </si>
  <si>
    <t>ไฮโดรมิเตอร์</t>
  </si>
  <si>
    <t>6635 4/1/34(ยกเลิก)</t>
  </si>
  <si>
    <t>เครื่องมือ  FIELD  CBR  SET</t>
  </si>
  <si>
    <t>6695 1/2/34(ยกเลิก)</t>
  </si>
  <si>
    <t>เกจวัดความดันทางต่ำ  (LOW)</t>
  </si>
  <si>
    <t>6695 1/1/34(ยกเลิก)</t>
  </si>
  <si>
    <t>เกจวัดความดันทางสูง  (HI)</t>
  </si>
  <si>
    <t>6695 3/1/34(ยกเลิก)</t>
  </si>
  <si>
    <t>เกจสำหรับชุดควบคุมแก๊ส  ACETYLENE</t>
  </si>
  <si>
    <t>6695 3/4/34(ยกเลิก)</t>
  </si>
  <si>
    <t>เกจสำหรับ  ACETYLENE</t>
  </si>
  <si>
    <t>6695 3/6/34(ยกเลิก)</t>
  </si>
  <si>
    <t>เกจสำหรับ  NITROGEN</t>
  </si>
  <si>
    <t>6695 3/5/34(ยกเลิก)</t>
  </si>
  <si>
    <t>เกจสำหรับ  OXYGEN</t>
  </si>
  <si>
    <t>6695 2/1/34(ยกเลิก)</t>
  </si>
  <si>
    <t>8110 2/34(ยกเลิก)</t>
  </si>
  <si>
    <t>ถังอัดก๊าชคาร์บอนไดอ๊อกไซด์  ขนาด  25  ก.ก</t>
  </si>
  <si>
    <t>8110 1/34(ยกเลิก)</t>
  </si>
  <si>
    <t>ถังอัดก๊าชคาร์บอนไดอ๊อกไซด์  ขนาด  4  กก</t>
  </si>
  <si>
    <t>8120 3/34(ยกเลิก)</t>
  </si>
  <si>
    <t>ท่อบรรจุก๊าซคาร์บอนไดอ๊อกไซด์  ขนาด  4  กก</t>
  </si>
  <si>
    <t>3230 2/2/35(ยกเลิก)</t>
  </si>
  <si>
    <t>เครื่องตัดเหล็กปรับมุมได้พร้อมแท่น</t>
  </si>
  <si>
    <t>3230 1/2/35(ยกเลิก)</t>
  </si>
  <si>
    <t>เลื่อยวงเดือนแบบมือถือ  ขนาด  160  มม</t>
  </si>
  <si>
    <t>3230 1/1/35(ยกเลิก)</t>
  </si>
  <si>
    <t>เลื่อยวงเดือนแบบมือถือ  ขนาด  210  มม.(8  1-8  นิ้ว)</t>
  </si>
  <si>
    <t>3405 1/1/35(ยกเลิก)</t>
  </si>
  <si>
    <t>กรรไกรตัดเหล็กชนิดคันโยก</t>
  </si>
  <si>
    <t>3433 2/1/35(ยกเลิก)</t>
  </si>
  <si>
    <t>เครื่องเชื่อมและตัดโหละด้วยแก๊สอ๊อกซิเจน  และอเซทีลีน</t>
  </si>
  <si>
    <t>3443 1/1/35(ยกเลิก)</t>
  </si>
  <si>
    <t>เครื่องบดอัดดินอัตโนมัติ</t>
  </si>
  <si>
    <t>3444 1/1/35(ยกเลิก)</t>
  </si>
  <si>
    <t>เครื่องประกอบหัวสายไฮดรอลิค</t>
  </si>
  <si>
    <t>3820 1/2/35(ยกเลิก)</t>
  </si>
  <si>
    <t>เครื่องเจาะกระแทรกสกัดพื้นคอนกรีต  (BREAKERS)</t>
  </si>
  <si>
    <t>3820 1/1/35(ยกเลิก)</t>
  </si>
  <si>
    <t>เครื่องเจาะคอนกรีต</t>
  </si>
  <si>
    <t>3895 7/2/35(ยกเลิก)</t>
  </si>
  <si>
    <t>3895 5/1/35(ยกเลิก)</t>
  </si>
  <si>
    <t>เครื่องตัดคอนกรีต  ขนาด  14  นิ้ว</t>
  </si>
  <si>
    <t>3895 2/1/35(ยกเลิก)</t>
  </si>
  <si>
    <t>เครื่องผสมมอร์ต้า</t>
  </si>
  <si>
    <t>3930 1/2/35(ยกเลิก)</t>
  </si>
  <si>
    <t>รถยกงาแซะขนาด  10000  ปอนด์</t>
  </si>
  <si>
    <t>3930 2/1/35(ยกเลิก)</t>
  </si>
  <si>
    <t>รถยกไฟฟ้าแบบใช้แบตเตอรี่ชนิดยืนขับ</t>
  </si>
  <si>
    <t>3960 1/1/35(ยกเลิก)</t>
  </si>
  <si>
    <t>VERTICAL  LIFT</t>
  </si>
  <si>
    <t>4210 9/1/35(ยกเลิก)</t>
  </si>
  <si>
    <t>น้ำยาดับเพลองโฟม  ชนิด  ALCOHOL  RESISTANT  TYPE  CONCENTRATE</t>
  </si>
  <si>
    <t>4210 9/2/35(ยกเลิก)</t>
  </si>
  <si>
    <t>น้ำยาดับเพลิงชนิดโปรตีนโฟม 3% (PROTEIN FOAM 3%)</t>
  </si>
  <si>
    <t>4320 4/1/35(ยกเลิก)</t>
  </si>
  <si>
    <t>เครื่องดูดฟองอากาศ</t>
  </si>
  <si>
    <t>4420 1/2/35(ยกเลิก)</t>
  </si>
  <si>
    <t>เครื่องทำน้ำร้อนไฟฟ้า</t>
  </si>
  <si>
    <t>4430 1/2/35(ยกเลิก)</t>
  </si>
  <si>
    <t>เตาฟู่  ขนาด  1  1-2  ลิตร</t>
  </si>
  <si>
    <t>4520 1/1/35(ยกเลิก)</t>
  </si>
  <si>
    <t>เครื่องทำความร้อน  ชนิดไฟฟ้า แบบเคลื่อนที่ได้</t>
  </si>
  <si>
    <t>4610 1/2/35(ยกเลิก)</t>
  </si>
  <si>
    <t>เครื่องกรองน้ำ</t>
  </si>
  <si>
    <t>4610 1/1/35(ยกเลิก)</t>
  </si>
  <si>
    <t>4920 2/1/35(ยกเลิก)</t>
  </si>
  <si>
    <t>เครื่องพ่นสีผิวจราจรพร้อมอุปกรณ์  ขนาดไม่ต่ำกว่า  4  แรงม้า</t>
  </si>
  <si>
    <t>4940 3/1/35(ยกเลิก)</t>
  </si>
  <si>
    <t>เครื่องช่วยสตาร์ทเครื่องยนต์</t>
  </si>
  <si>
    <t>4940 2/1/35(ยกเลิก)</t>
  </si>
  <si>
    <t>เครื่องตรวจวัดควันดำของเครื่องยนต์</t>
  </si>
  <si>
    <t>5110 2/1/35(ยกเลิก)</t>
  </si>
  <si>
    <t>คัทเตอร์  ตัดท่อเหล็กหล่อ</t>
  </si>
  <si>
    <t>5130 7/1/35(ยกเลิก)</t>
  </si>
  <si>
    <t>ไขควงไฟฟ้าแบบมือถือ</t>
  </si>
  <si>
    <t>5130 3/10/35(ยกเลิก)</t>
  </si>
  <si>
    <t>เครื่องขัดกระดาษทรายมือถือ  แบบสายพาน</t>
  </si>
  <si>
    <t>5130 3/12/35(ยกเลิก)</t>
  </si>
  <si>
    <t>เครื่องขัดกระดาษทราย  และขัดเงาแบบมือถือ</t>
  </si>
  <si>
    <t>5130 3/4/35(ยกเลิก)</t>
  </si>
  <si>
    <t>เครื่องขัดผิวโลหะแบบขัดเป็นวงรี  (ORBITAL  SANDERS)</t>
  </si>
  <si>
    <t>5130 3/2/35(ยกเลิก)</t>
  </si>
  <si>
    <t>เครื่องขัดไม้สายพาน  ชนิดมือถือ</t>
  </si>
  <si>
    <t>5130 3/8/35(ยกเลิก)</t>
  </si>
  <si>
    <t>เครื่องตัด  ขนาด  110  มม.  (4  3-8  นิ้ว)</t>
  </si>
  <si>
    <t>5130 3/1/35(ยกเลิก)</t>
  </si>
  <si>
    <t>เครื่องมือขัดสี</t>
  </si>
  <si>
    <t>5130 1/1/35(ยกเลิก)</t>
  </si>
  <si>
    <t>เลื่อยฉลุไฟฟ้าแบบมือถือ</t>
  </si>
  <si>
    <t>5180 1/1/35(ยกเลิก)</t>
  </si>
  <si>
    <t>เครื่องมือตรวจหาตำแหน่งเหล็กเสริมในคอนกรีต</t>
  </si>
  <si>
    <t>5335 1/1/35(ยกเลิก)</t>
  </si>
  <si>
    <t>เครื่องร่อนวัสดุ</t>
  </si>
  <si>
    <t>5345 2/1/35(ยกเลิก)</t>
  </si>
  <si>
    <t>เครื่องหินเจียรไนไฟฟ้าชนิดตั้งโต๊ะ</t>
  </si>
  <si>
    <t>5440 1/1/35(ยกเลิก)</t>
  </si>
  <si>
    <t>บันไดอลูมิเนียม  ขนาด  24  ฟุต</t>
  </si>
  <si>
    <t>5920 1/4/35(ยกเลิก)</t>
  </si>
  <si>
    <t>ชุดกรองหรือแยกแรงไฟฟ้ากระโชก  ขนาด  100  A.  (ระบบไฟฟ้า  380-220 V.  3 PH. 4  VWIRE  50</t>
  </si>
  <si>
    <t>6110 6/1/35(ยกเลิก)</t>
  </si>
  <si>
    <t>เครื่อง  PHASE  SEQUENCE  INDICATOR  (เครื่องตรวจสอบเฟสไฟฟ้า(</t>
  </si>
  <si>
    <t>6125 5/1/35(ยกเลิก)</t>
  </si>
  <si>
    <t>เครื่องตรวจสอบขดลวดไฟฟ้า</t>
  </si>
  <si>
    <t>6125 4/1/35(ยกเลิก)</t>
  </si>
  <si>
    <t>เครื่องแปลงความถี่ไฟฟ้า  10  KVA.50-60  Hz</t>
  </si>
  <si>
    <t>6125 4/5/35(ยกเลิก)</t>
  </si>
  <si>
    <t>เครื่องแปลงความถี่ไฟฟ้า  125  KVA.50-400  Hz</t>
  </si>
  <si>
    <t>6125 4/3/35(ยกเลิก)</t>
  </si>
  <si>
    <t>เครื่องแปลงความถี่ไฟฟ้า  50  KVA.50-400  Hz</t>
  </si>
  <si>
    <t>6125 4/4/35(ยกเลิก)</t>
  </si>
  <si>
    <t>เครื่องแปลงความถี่ไฟฟ้า  60  KVA.50-400  Hz</t>
  </si>
  <si>
    <t>6125 4/2/35(ยกเลิก)</t>
  </si>
  <si>
    <t>เครื่องแปลงความถี่ไฟฟ้า  60  KVA.50-60  Hz</t>
  </si>
  <si>
    <t>6155 5/2/35(ยกเลิก)</t>
  </si>
  <si>
    <t>MOTOR  TESTER</t>
  </si>
  <si>
    <t>6210 1/1/35(ยกเลิก)</t>
  </si>
  <si>
    <t>ชุดดวงโคม  HIGH  BAY  สำหรับหลอด  HIGH  INTENSITY  DISCHARGE  (HID)  MERCURY  VAPOUR  ข</t>
  </si>
  <si>
    <t>6230 1/1/35(ยกเลิก)</t>
  </si>
  <si>
    <t>ไฟส่องสว่างเวที  (FOLLOW  SPOTLIGHT)</t>
  </si>
  <si>
    <t>6620 1/1/35(ยกเลิก)</t>
  </si>
  <si>
    <t>เครื่องตั้งจังหวะการฉีดเชื้อเพลิง</t>
  </si>
  <si>
    <t>6630 1/1/35(ยกเลิก)</t>
  </si>
  <si>
    <t>เครื่องมือทดสอบความเป็น  กรด-ด่าง</t>
  </si>
  <si>
    <t>6635 1/1/35(ยกเลิก)</t>
  </si>
  <si>
    <t>เครื่องมือตรวจสอบกำลังอัดของคอนกรีตแบบไม่ทำลาย</t>
  </si>
  <si>
    <t>6635 4/1/35(ยกเลิก)</t>
  </si>
  <si>
    <t>เครื่อมือทดลองส่วนผสมของแอสฟิลติกคอนกรีต</t>
  </si>
  <si>
    <t>6675 4/2/35(ยกเลิก)</t>
  </si>
  <si>
    <t>ไม้ฉากชนิดปรับปรุงได้  (ADJUSTABLE  SET  SQUARE)  ขนาด  10  -  12   นิ้ว</t>
  </si>
  <si>
    <t>6675 4/1/35(ยกเลิก)</t>
  </si>
  <si>
    <t>ไม้ฉากชนิดปรับปรุงได้  (ADJUSTABLE  SET  SQUARE)  ขนาด  6  -  8  นิ้ว</t>
  </si>
  <si>
    <t>6675 5/1/35(ยกเลิก)</t>
  </si>
  <si>
    <t>ไม้ทีสแควร์</t>
  </si>
  <si>
    <t>6675 7/2/35(ยกเลิก)</t>
  </si>
  <si>
    <t>ไม้เล็งแนว  ยาว  3.00  เมตร</t>
  </si>
  <si>
    <t>6675 7/1/35(ยกเลิก)</t>
  </si>
  <si>
    <t>สต๊าฟชนิดภาพหัวตั้ง  ขนาด  3.00  เมตร</t>
  </si>
  <si>
    <t>6675 3/1/35(ยกเลิก)</t>
  </si>
  <si>
    <t>อุปกรณ์เครื่องเขียนสำหรับการเขียนแบบ  (วงเวียน)</t>
  </si>
  <si>
    <t>6680 3/1/35(ยกเลิก)</t>
  </si>
  <si>
    <t>เครื่องวัดการซึมผ่านของน้ำในมวลดิน</t>
  </si>
  <si>
    <t>6680 4/1/35(ยกเลิก)</t>
  </si>
  <si>
    <t>เครื่องวัดความอัดของกระบอกสูบเครื่องยนต์เบนซิน</t>
  </si>
  <si>
    <t>6680 1/1/35(ยกเลิก)</t>
  </si>
  <si>
    <t>เครื่องวัดรอบแบบสัมผัส</t>
  </si>
  <si>
    <t>6685 3/1/35(ยกเลิก)</t>
  </si>
  <si>
    <t>เครื่องบันทึกอุณหภูมิและความชื้นอากาศ  (THERMO-HYDROGRAPH)</t>
  </si>
  <si>
    <t>6685 3/3/35(ยกเลิก)</t>
  </si>
  <si>
    <t>เครื่องวัดความเร็วลมและอุณหภูมิ</t>
  </si>
  <si>
    <t>2320 3/2/36(ยกเลิก)</t>
  </si>
  <si>
    <t>รถซ่อมบำรุง  (โทรศัพท์)</t>
  </si>
  <si>
    <t>2320 1/2/36(ยกเลิก)</t>
  </si>
  <si>
    <t>รถบรรทุกขยะ</t>
  </si>
  <si>
    <t>2320 1/1/36(ยกเลิก)</t>
  </si>
  <si>
    <t>รถบรรทุกเทท้าย  ขนาด  5  ลูกบาศก์เมตร  (4+2)</t>
  </si>
  <si>
    <t>2320 3/1/36(ยกเลิก)</t>
  </si>
  <si>
    <t>รถบูรณะไฟฟ้า</t>
  </si>
  <si>
    <t>2420 1/1/36(ยกเลิก)</t>
  </si>
  <si>
    <t>รถฟาร์มแทรกเตอร์  ขนาดเครื่องยนต์ไม่ต่ำกว่า  75  แรงม้า</t>
  </si>
  <si>
    <t>2420 1/2/36(ยกเลิก)</t>
  </si>
  <si>
    <t>รถฟาร์มแทรกเตอร์  พร้อมชุดไถ</t>
  </si>
  <si>
    <t>2805 1/1/36(ยกเลิก)</t>
  </si>
  <si>
    <t>เครื่องยนต์ขนาดไม่ต่ำกว่า  15  แรงม้า</t>
  </si>
  <si>
    <t>3230 2/1/36(ยกเลิก)</t>
  </si>
  <si>
    <t>เครื่องมือตัดโลหะ  (CUT -  OFFS)</t>
  </si>
  <si>
    <t>3230 5/1/36(ยกเลิก)</t>
  </si>
  <si>
    <t>เลื่อยวงเดือนไฟฟ้า</t>
  </si>
  <si>
    <t>3420 1/1/36(ยกเลิก)</t>
  </si>
  <si>
    <t>เครื่องสูญน้ำ  SUBMERSIBLE  ขนาด  30  แรงม้า</t>
  </si>
  <si>
    <t>3432 2/1/36(ยกเลิก)</t>
  </si>
  <si>
    <t>เครื่องเชื่อมท่อ  พีบี  ขนาด  2  นิ้ว  -  4  นิ้ว</t>
  </si>
  <si>
    <t>3432 2/2/36(ยกเลิก)</t>
  </si>
  <si>
    <t>เครื่องเชื่อมท่อ  พีบี  ขนาด  4  นิ้ว  -  6  นิ้ว</t>
  </si>
  <si>
    <t>3432 1/1/36(ยกเลิก)</t>
  </si>
  <si>
    <t>เครื่องเชื่อมไฟฟ้า  ขนาดไม่น้อยกว่า  150  A</t>
  </si>
  <si>
    <t>3439 2/1/36(ยกเลิก)</t>
  </si>
  <si>
    <t>เครื่องมือดูดตะกั่ว  (DESOLDERING  TOOL)</t>
  </si>
  <si>
    <t>3439 1/1/36(ยกเลิก)</t>
  </si>
  <si>
    <t>เครื่องมือบัดกรี  (SOLDERING  STATION)</t>
  </si>
  <si>
    <t>3750 1/1/36(ยกเลิก)</t>
  </si>
  <si>
    <t>เครื่องตัดหญ้าแบบนั่งขับ  ขนาดเครื่องยนต์ไม่ต่ำกว่า  8  แรงม้า</t>
  </si>
  <si>
    <t>3750 3/1/36(ยกเลิก)</t>
  </si>
  <si>
    <t>เครื่องตัดหญ้าแบบสะพายชนิดข้ออ่อน  ขนาดไม่ต่ำกว่า  1.5  แรงม้า</t>
  </si>
  <si>
    <t>3750 3/2/36(ยกเลิก)</t>
  </si>
  <si>
    <t>เครื่องตัดหญ้าใบมีดหมุนเหวี่ยงตามแนวนอน  ขนาดเส้นผ่าศูนย์กลางใบมีด  73  นิ้ว</t>
  </si>
  <si>
    <t>รถตัดหญ้าล้อจักรยานชนิดเข็น  ขนาด  5  แรงม้า</t>
  </si>
  <si>
    <t>3895 1/1/36(ยกเลิก)</t>
  </si>
  <si>
    <t>รถบดล้อเหล็กสั่นสะเทือน  ขนาด  8  -  10  ตัน</t>
  </si>
  <si>
    <t>3940 1/1/36(ยกเลิก)</t>
  </si>
  <si>
    <t>รอกไฟฟ้า  ไม่น้อยกว่า  3  ตัน  3  ระบบ</t>
  </si>
  <si>
    <t>3960 1/1/36(ยกเลิก)</t>
  </si>
  <si>
    <t>โครงลิฟท์เอนกประสงค์</t>
  </si>
  <si>
    <t>4120 215/36(ยกเลิก)</t>
  </si>
  <si>
    <t>เครื่องปรับอากาศชนิดแยกส่วน  ขนาดไม่ต่ำกว่า  240000  BTU.- Hr (ระบบไฟฟ้า 380V.  4 WIRE</t>
  </si>
  <si>
    <t>4120 217/1/36(ยกเลิก)</t>
  </si>
  <si>
    <t>เครื่องปรับอากาศชนิดแยกส่วน  ขนาดไม่ต่ำกว่า  300000  BTU.- Hr  (ระบบไฟฟ้า 380V.  4 WI</t>
  </si>
  <si>
    <t>4310 1/1/36(ยกเลิก)</t>
  </si>
  <si>
    <t>เครื่องเติมอากาศปริมาณลม  188  ลบ.ฟุต-นาที</t>
  </si>
  <si>
    <t>4310 5/1/36(ยกเลิก)</t>
  </si>
  <si>
    <t>เครื่องปั๊มลม  ขนาด  5  Hp.  220  VAC  ความดัน  15  KG-CM2  ความจุ  155  ลิตร</t>
  </si>
  <si>
    <t>4320 3/1/36(ยกเลิก)</t>
  </si>
  <si>
    <t>เครื่องสูบน้ำเทอร์ไบน์  ขนาด  60  แรงม้า</t>
  </si>
  <si>
    <t>4320 2/8/36(ยกเลิก)</t>
  </si>
  <si>
    <t>เครื่องสูบน้ำแบบหางนาค  ขนาดเส้นผ่านศูนย์กลาง  6  นิ้ว  ยาว  6  เมตร</t>
  </si>
  <si>
    <t>4320 1/9/36(ยกเลิก)</t>
  </si>
  <si>
    <t>เครื่องสูบน้ำแบบ  SUBMERSIBLE  PUMP  ขนาด  3  H.P.  (24  KW.  , 380  V.3  Ph.60  Hz)</t>
  </si>
  <si>
    <t>เลขหมวด</t>
  </si>
  <si>
    <t>4320 2/5/36(ยกเลิก)</t>
  </si>
  <si>
    <t>เครื่องสูบน้ำหอยโข่ง  ขนาด  20  แรงม้า</t>
  </si>
  <si>
    <t>รายละเอียดประจำเลขหมวด 2 หลักแรก (เช่น 10XX / ปี พ.ศ.)</t>
  </si>
  <si>
    <t>4320 2/2/36(ยกเลิก)</t>
  </si>
  <si>
    <t>เครื่องสูบน้ำหอยโข่ง  ขนาด  250  W</t>
  </si>
  <si>
    <t>หมวด 10 อาวุธ</t>
  </si>
  <si>
    <t>11</t>
  </si>
  <si>
    <t>หมวด 11 อาวุธนิวเคลียร์</t>
  </si>
  <si>
    <t>12</t>
  </si>
  <si>
    <t>หมวด 12 บริภัณฑ์ควบคุมการยิง</t>
  </si>
  <si>
    <t>4320 2/6/36(ยกเลิก)</t>
  </si>
  <si>
    <t>เครื่องสูบน้ำหอยโข่ง  ขนาด  3  แรงม้า</t>
  </si>
  <si>
    <t>13</t>
  </si>
  <si>
    <t>หมวด 13 กระสุนปืนและวัตถุระเบิด</t>
  </si>
  <si>
    <t>14</t>
  </si>
  <si>
    <t>4320 2/4/36(ยกเลิก)</t>
  </si>
  <si>
    <t>หมวด 14 อาวุธซัดส่งนำวิถี</t>
  </si>
  <si>
    <t>หมวด 15 อากาศยานและส่วนประกอบโครงสร้างของโครงอากาศยาน</t>
  </si>
  <si>
    <t>เครื่องสูบน้ำหอยโข่ง  ขนาด  40  แรงม้า</t>
  </si>
  <si>
    <t>16</t>
  </si>
  <si>
    <t>หมวด 16 ส่วนประกอบและเครื่องประกอบของอากาศยาน</t>
  </si>
  <si>
    <t>17</t>
  </si>
  <si>
    <t>หมวด 17 บริภัณฑ์ปล่อย ช่วยการลงสู่พื้นและยกย้ายภาคพื้นสำหรับอากาศยาน</t>
  </si>
  <si>
    <t>18</t>
  </si>
  <si>
    <t>หมวด 18 (ยังไม่ได้กำหนด)</t>
  </si>
  <si>
    <t>19</t>
  </si>
  <si>
    <t>หมวด 19 เรือขนาดเล็ก</t>
  </si>
  <si>
    <t>20</t>
  </si>
  <si>
    <t>หมวด 20 บริภัณฑ์เรือและบริภัณฑ์ที่ใช้ทางเรือ</t>
  </si>
  <si>
    <t>21</t>
  </si>
  <si>
    <t>หมวด 21 (ยังไม่กำหนด)</t>
  </si>
  <si>
    <t>22</t>
  </si>
  <si>
    <t>หมวด 22 บริภัณฑ์การรถไฟ</t>
  </si>
  <si>
    <t>4320 2/1/36(ยกเลิก)</t>
  </si>
  <si>
    <t>เครื่องสูบน้ำหอยโข่ง  ขนาด  50  แรงม้า  (ระบบไฟฟ้า  380  V. 3 PH  50  Hz)</t>
  </si>
  <si>
    <t>23</t>
  </si>
  <si>
    <t>หมวด 23 ยานยนต์ รถพ่วงและจักรยาน</t>
  </si>
  <si>
    <t>24</t>
  </si>
  <si>
    <t>หมวด 24 รถแทรกเตอร์</t>
  </si>
  <si>
    <t>25</t>
  </si>
  <si>
    <t>หมวด 25 ส่วนประกอบบริภัณฑ์ยานพาหนะ</t>
  </si>
  <si>
    <t>26</t>
  </si>
  <si>
    <t>หมวด 26 ยางนอกและยางใน</t>
  </si>
  <si>
    <t>4320 2/7/36(ยกเลิก)</t>
  </si>
  <si>
    <t>27</t>
  </si>
  <si>
    <t>หมวด 27 (ยังไม่กำหนด)</t>
  </si>
  <si>
    <t>28</t>
  </si>
  <si>
    <t>เครื่องสูบน้ำหอยโข่ง  MULTI  STAGE   ขนาด  20  แรงม้า  (ระบบไฟฟ้า  380  V. 3 PH  50  Hz</t>
  </si>
  <si>
    <t>หมวด 28 เครื่องยนต์ เครื่องกังหันและส่วนประกอบ</t>
  </si>
  <si>
    <t>29</t>
  </si>
  <si>
    <t>หมวด 29 เครื่องประกอบเครื่องยนต์</t>
  </si>
  <si>
    <t>30</t>
  </si>
  <si>
    <t>หมวด 30 บริภัณฑ์เครื่องส่งกำลังกล</t>
  </si>
  <si>
    <t>31</t>
  </si>
  <si>
    <t>หมวด 31 รองเพลา</t>
  </si>
  <si>
    <t>32</t>
  </si>
  <si>
    <t>หมวด 32 เครื่องจักรกลงานไม้และบริภัณฑ์</t>
  </si>
  <si>
    <t>33</t>
  </si>
  <si>
    <t>หมวด 33 (ยังไม่กำหนด)</t>
  </si>
  <si>
    <t>34</t>
  </si>
  <si>
    <t>หมวด 34 เครื่องจักรกลงานโลหะ</t>
  </si>
  <si>
    <t>35</t>
  </si>
  <si>
    <t>หมวด 35 บริภัณฑ์การบริการและร้านค้า</t>
  </si>
  <si>
    <t>36</t>
  </si>
  <si>
    <t>หมวด 36 เครื่องจักรกลอุตสาหกรรมพิเศษ</t>
  </si>
  <si>
    <t>37</t>
  </si>
  <si>
    <t>หมวด 37 เครื่องจักรกลและบริภัณฑ์เกษตรกรรม</t>
  </si>
  <si>
    <t>38</t>
  </si>
  <si>
    <t>4320 2/3/36(ยกเลิก)</t>
  </si>
  <si>
    <t>หมวด 38 บริภัณฑ์การก่อสร้าง การทำเหมืองแร่ การขุดและการซ่อมบำรุงถนน</t>
  </si>
  <si>
    <t>39</t>
  </si>
  <si>
    <t>เครื่องสูบน้ำหอยโข่ง  SINGLE  STAGE   ขนาด  50  แรงม้า  (ระบบไฟฟ้า  380  V. 3 PH  50  H</t>
  </si>
  <si>
    <t>หมวด 39 บริภัณฑ์ยกย้ายพัสดุ</t>
  </si>
  <si>
    <t>40</t>
  </si>
  <si>
    <t>หมวด 40 เชือก สายเคเบิลและชิ้นต่อ</t>
  </si>
  <si>
    <t>41</t>
  </si>
  <si>
    <t>หมวด 41 บริภัณฑ์ทำความเย็น การปรับสภาพอากาศ และการถ่ายเทอากาศ</t>
  </si>
  <si>
    <t>42</t>
  </si>
  <si>
    <t>หมวด 42 บริภัณฑ์ดับเพลิง กู้ภัยและนิรภัย</t>
  </si>
  <si>
    <t>43</t>
  </si>
  <si>
    <t>หมวด 43 สูบและเครื่องอัด</t>
  </si>
  <si>
    <t>44</t>
  </si>
  <si>
    <t>หมวด 44 เตาหลอม เครื่องไอน้ำและบริภัณฑ์ทำให้แห้ง</t>
  </si>
  <si>
    <t>45</t>
  </si>
  <si>
    <t>หมวด 45 บริภัณฑ์เครื่องห่อ บริภัณฑ์ทำความร้อนและบริภัณฑ์สุขาภิบาล</t>
  </si>
  <si>
    <t>46</t>
  </si>
  <si>
    <t>หมวด 46 บริภัณฑ์ทำให้น้ำบริสุทธิ์ บริภัณฑ์กำจัดสิ่งโสโครก</t>
  </si>
  <si>
    <t>47</t>
  </si>
  <si>
    <t>หมวด 47 ท่อชนิดต่างๆ และชิ้นต่อ</t>
  </si>
  <si>
    <t>48</t>
  </si>
  <si>
    <t>หมวด 48 ลิ้น</t>
  </si>
  <si>
    <t>4320 1/10/36(ยกเลิก)</t>
  </si>
  <si>
    <t>49</t>
  </si>
  <si>
    <t>หมวด 49 บริภัณฑ์โรงงานซ่อมบำรุงและโรงซ่อม</t>
  </si>
  <si>
    <t>50</t>
  </si>
  <si>
    <t>เครื่องสูบน้ำ  SUBMERSIBLE  ขนาด  15  แรงม้า</t>
  </si>
  <si>
    <t>หมวด 50 (ยังไม่กำหนด)</t>
  </si>
  <si>
    <t>51</t>
  </si>
  <si>
    <t>หมวด 51 เครื่องมือชนิดถือ</t>
  </si>
  <si>
    <t>52</t>
  </si>
  <si>
    <t>หมวด 52 เครื่องมือวัด</t>
  </si>
  <si>
    <t>53</t>
  </si>
  <si>
    <t>หมวด 53 ฮาร์ดแวร์และวัสดุสำหรับขัด</t>
  </si>
  <si>
    <t>54</t>
  </si>
  <si>
    <t>หมวด 54 โครงสร้างสำเร็จรูปและเครื่องนั่งร้าน</t>
  </si>
  <si>
    <t>55</t>
  </si>
  <si>
    <t>หมวด 55 ไม้แปรรูป ไม้ที่ปรุงแต่งแล้ว ไม้อัดและไม้แผ่นบาง</t>
  </si>
  <si>
    <t>56</t>
  </si>
  <si>
    <t>หมวด 56 วัสดุอาคารและการก่อสร้าง</t>
  </si>
  <si>
    <t>57</t>
  </si>
  <si>
    <t>หมวด 57 (ยังไม่กำหนด)</t>
  </si>
  <si>
    <t>58</t>
  </si>
  <si>
    <t>หมวด 58 บริภัณฑ์การสื่อสาร การสืบค้นและการส่งรังสีติดต่อ</t>
  </si>
  <si>
    <t>59</t>
  </si>
  <si>
    <t>หมวด 59 ส่วนประกอบบริภัณฑ์ไฟฟ้าและ อิเล็กทรอนิกส์</t>
  </si>
  <si>
    <t>60</t>
  </si>
  <si>
    <t>หมวด 60 สายใยแก้วนำแสงพร้อมอุปกรณ์</t>
  </si>
  <si>
    <t>61</t>
  </si>
  <si>
    <t>หมวด 61 สายไฟฟ้าและบริภัณฑ์ทำไฟฟ้าและจ่ายกระแสไฟฟ้า</t>
  </si>
  <si>
    <t>62</t>
  </si>
  <si>
    <t>หมวด 62 สิ่งติดตั้งให้แสงสว่างและหลอดไฟฟ้า</t>
  </si>
  <si>
    <t>63</t>
  </si>
  <si>
    <t>4320 1/11/36(ยกเลิก)</t>
  </si>
  <si>
    <t>หมวด 63 ระบบให้สัญญาณและแจ้งภัย</t>
  </si>
  <si>
    <t>64</t>
  </si>
  <si>
    <t>หมวด 64 (ยังไม่กำหนด)</t>
  </si>
  <si>
    <t>65</t>
  </si>
  <si>
    <t>เครื่องสูบน้ำ  SUBMERSIBLE  ขนาด  20   แรงม้า</t>
  </si>
  <si>
    <t>หมวด 65 บริภัณฑ์และพัสดุทางการแพทย์ ทันตกรรม และสัตวรักษ์</t>
  </si>
  <si>
    <t>66</t>
  </si>
  <si>
    <t>หมวด 66 เครื่องวัดและบริภัณฑ์ห้องวิทยาศาสตร์</t>
  </si>
  <si>
    <t>4320 1/3/36(ยกเลิก)</t>
  </si>
  <si>
    <t>67</t>
  </si>
  <si>
    <t>ปั้มสูบน้ำชนิดแช่  ขนาด  11  KW.  (ระบบไฟฟ้า  380  V.  3  Ph.  50  Hz)</t>
  </si>
  <si>
    <t>หมวด 67 บริภัณฑ์ถ่ายภาพ</t>
  </si>
  <si>
    <t>68</t>
  </si>
  <si>
    <t>หมวด 68 เคมีภัณฑ์และผลิตภัณฑ์เคมี</t>
  </si>
  <si>
    <t>69</t>
  </si>
  <si>
    <t>หมวด 69 เครื่องช่วยฝึกและกลอุปกรณ์</t>
  </si>
  <si>
    <t>70</t>
  </si>
  <si>
    <t>หมวด 70 บริภัณฑ์กรรมวิธีข้อมูลอัตโนมัติ ADPE แบบความมุ่งประสงค์ทั่วไป ซอฟท์แวร์พัสดุ และบริภัณฑ์สนับสนุน</t>
  </si>
  <si>
    <t>71</t>
  </si>
  <si>
    <t>หมวด 71 เฟอร์นิเจอร์</t>
  </si>
  <si>
    <t>72</t>
  </si>
  <si>
    <t>หมวด 72 เครื่องใช้และเครื่องตบแต่งที่ใช้ในบ้านและร้านค้า</t>
  </si>
  <si>
    <t>73</t>
  </si>
  <si>
    <t>หมวด 73 บริภัณฑ์เตรียมและเสิร์ฟอาหาร</t>
  </si>
  <si>
    <t>74</t>
  </si>
  <si>
    <t>หมวด 74 เครื่องจักรที่ใช้ในสำนักงาน บริภัณฑ์บันทึกชนิดที่มองเห็นได้และบริภัณฑ์กรรมวิธีข้อมูล</t>
  </si>
  <si>
    <t>75</t>
  </si>
  <si>
    <t>4320 1/2/36(ยกเลิก)</t>
  </si>
  <si>
    <t>หมวด 75 พัสดุที่ใช้ในสำนักงานและกลอุปกรณ์</t>
  </si>
  <si>
    <t>76</t>
  </si>
  <si>
    <t>ปั้มสูบน้ำชนิดแช่  ขนาด  1.5  KW.  (ระบบไฟฟ้า  380  V.  3  Ph.  50  Hz)</t>
  </si>
  <si>
    <t>หมวด 76 หนังสือ แผนที่และสิ่งพิมพ์อื่นๆ</t>
  </si>
  <si>
    <t>77</t>
  </si>
  <si>
    <t>หมวด 77 เครื่องดนตรี เครื่องเล่นจานเสียงและเครื่องรับวิทยุแบบที่ใช้ในครัวเรือน</t>
  </si>
  <si>
    <t>78</t>
  </si>
  <si>
    <t>หมวด 78 บริภัณฑ์สำหรับการกีฬาและสันทนการ</t>
  </si>
  <si>
    <t>79</t>
  </si>
  <si>
    <t>หมวด 79 พัสดุและบริภัณฑ์ทำความสะอาด</t>
  </si>
  <si>
    <t>80</t>
  </si>
  <si>
    <t>หมวด 80 แปรงและพู่กัน สีวัสดุกันรั่ว และวัสดุสำหรับติดแน่น</t>
  </si>
  <si>
    <t>81</t>
  </si>
  <si>
    <t>หมวด 81 ภาชนะบรรจุหีบห่อและพัสดุที่ใช้ในการบรรจุหีบห่อ</t>
  </si>
  <si>
    <t>82</t>
  </si>
  <si>
    <t>หมวด 82 (ยังไม่กำหนด)</t>
  </si>
  <si>
    <t>83</t>
  </si>
  <si>
    <t>หมวด 83 สิ่งทอ หนังสัตว์ ขนสัตว์ วัสดุประกอบเครื่องแต่งกาย และวัสดุประกอบรองเท้า เต็นท์ และธง</t>
  </si>
  <si>
    <t>4320 1/4/36(ยกเลิก)</t>
  </si>
  <si>
    <t>84</t>
  </si>
  <si>
    <t>หมวด 84 อาภรณ์ภัณฑ์ บริภัณฑ์ประจำกายและเครื่องหมาย</t>
  </si>
  <si>
    <t>85</t>
  </si>
  <si>
    <t>ปั้มสูบน้ำชนิดแช่  ขนาด  22   KW.  (ระบบไฟฟ้า  380  V.  3  Ph.  50  Hz)</t>
  </si>
  <si>
    <t>หมวด 85 เครื่องสำอางและของใช้เกี่ยวกับการสุขา</t>
  </si>
  <si>
    <t>86</t>
  </si>
  <si>
    <t>หมวด 86 (ยังไม่กำหนด)</t>
  </si>
  <si>
    <t>87</t>
  </si>
  <si>
    <t>หมวด 87 พัสดุการเกษตร</t>
  </si>
  <si>
    <t>88</t>
  </si>
  <si>
    <t>หมวด 88 สัตว์มีชีวิต</t>
  </si>
  <si>
    <t>89</t>
  </si>
  <si>
    <t>หมวด 89 บริโภคภัณฑ์</t>
  </si>
  <si>
    <t>90</t>
  </si>
  <si>
    <t>หมวด 90 (ยังไม่กำหนด)</t>
  </si>
  <si>
    <t>91</t>
  </si>
  <si>
    <t>หมวด 91 เชื้อเพลิง วัสดุหล่อลื่น น้ำมันและขี้ผึ้ง</t>
  </si>
  <si>
    <t>92</t>
  </si>
  <si>
    <t>หมวด 92 (ยังไม่กำหนด)</t>
  </si>
  <si>
    <t>93</t>
  </si>
  <si>
    <t>หมวด 93 วัสดุที่ไม่ได้ทำด้วยโลหะ</t>
  </si>
  <si>
    <t>94</t>
  </si>
  <si>
    <t>หมวด 94 วัตถุดิบที่ไม่ใช่โลหะ</t>
  </si>
  <si>
    <t>95</t>
  </si>
  <si>
    <t>หมวด 95 โลหะที่เป็นท่อนแผ่นและรูปทรงต่างๆ</t>
  </si>
  <si>
    <t>96</t>
  </si>
  <si>
    <t>หมวด 96 สินแร่ แร่และผลิตภัณฑ์ปฐมภูมิ</t>
  </si>
  <si>
    <t>97</t>
  </si>
  <si>
    <t>หมวด 97 (ยังไม่กำหนด)</t>
  </si>
  <si>
    <t>98</t>
  </si>
  <si>
    <t>หมวด 98 (ยังไม่กำหนด)</t>
  </si>
  <si>
    <t>4320 1/5/36(ยกเลิก)</t>
  </si>
  <si>
    <t>99</t>
  </si>
  <si>
    <t>หมวด 99 เบ็ดเตล็ด</t>
  </si>
  <si>
    <t>ปั้มสูบน้ำชนิดแช่  ขนาด  25   KW.  (ระบบไฟฟ้า  380  V.  3  Ph.  50  Hz)</t>
  </si>
  <si>
    <t>4320 1/7/36(ยกเลิก)</t>
  </si>
  <si>
    <t>ปั้มสูบน้ำชนิดแช่  ขนาด  55  KW.  (ระบบไฟฟ้า  380  V.  3  Ph.  50  Hz)</t>
  </si>
  <si>
    <t>4320 1/1/36(ยกเลิก)</t>
  </si>
  <si>
    <t>ปั้มสูบน้ำชนิดแช่  ขนาด  .75  KW  (ระบบไฟฟ้า  380  V.  3Ph.  50  Hz.)</t>
  </si>
  <si>
    <t>4320 1/8/36(ยกเลิก)</t>
  </si>
  <si>
    <t>เรื่องสูบน้ำขับเมอสซิเบิ้ลปั้ม  ขนาด  1  แรงม้า</t>
  </si>
  <si>
    <t>4610 2/1/36(ยกเลิก)</t>
  </si>
  <si>
    <t>เครื่องผลิตน้ำประปา   ขนาด  5  ลบ.ม.-ชม</t>
  </si>
  <si>
    <t>4610 1/1/36(ยกเลิก)</t>
  </si>
  <si>
    <t>ชุดจ่ายสารเคมีลงในน้ำ</t>
  </si>
  <si>
    <t>4610 1/2/36(ยกเลิก)</t>
  </si>
  <si>
    <t>ถังกวนเคมี</t>
  </si>
  <si>
    <t>4630 1/1/36(ยกเลิก)</t>
  </si>
  <si>
    <t>ถังรองรับขยะ</t>
  </si>
  <si>
    <t>5110 3/1/36(ยกเลิก)</t>
  </si>
  <si>
    <t>เครื่องมือสำหรับตัด  และบานท่อทองแดง  (TUBING  TOOLS)</t>
  </si>
  <si>
    <t>5130 4/2/36(ยกเลิก)</t>
  </si>
  <si>
    <t>กบไฟฟ้า  แบบมือถือ  ขนาด  5  นิ้ว</t>
  </si>
  <si>
    <t>5130 3/2/36(ยกเลิก)</t>
  </si>
  <si>
    <t>เครื่องขัดสีโป๊ว</t>
  </si>
  <si>
    <t>5130 3/1/36(ยกเลิก)</t>
  </si>
  <si>
    <t>เครื่องเจียรไนแบบมือถือ</t>
  </si>
  <si>
    <t>5130 4/1/36(ยกเลิก)</t>
  </si>
  <si>
    <t>เครื่องไสไม้ไฟฟ้า  แบบมือถือ  ขนาด  5  นิ้ว</t>
  </si>
  <si>
    <t>5130 2/2/36(ยกเลิก)</t>
  </si>
  <si>
    <t>สว่านไฟฟ้าแบบมือถือ</t>
  </si>
  <si>
    <t>5130 2/1/36(ยกเลิก)</t>
  </si>
  <si>
    <t>สว่านไฟฟ้ามือถือ  แบบกระแทก  (IMPACT  DRILL)</t>
  </si>
  <si>
    <t>5136 2/1/36(ยกเลิก)</t>
  </si>
  <si>
    <t>เครื่องทำเกลียวนอกและใน  ชนิดมือหมุน</t>
  </si>
  <si>
    <t>5430 3/1/36(ยกเลิก)</t>
  </si>
  <si>
    <t>ถังผสมสารเคมี  พี.อี.  ขนาดบรรจุ  2000  ลิตร</t>
  </si>
  <si>
    <t>5430 1/1/36(ยกเลิก)</t>
  </si>
  <si>
    <t>ถังยางเก็บน้ำ  ขนาด  3000  ลิตร</t>
  </si>
  <si>
    <t>6110 2/1/36(ยกเลิก)</t>
  </si>
  <si>
    <t>ตู้ควบคุมไฟฟ้า  ขนาด  11  KW</t>
  </si>
  <si>
    <t>6110 2/4/36(ยกเลิก)</t>
  </si>
  <si>
    <t>ตู้ควบคุมไฟฟ้า  ขนาด  22,  50  Kw</t>
  </si>
  <si>
    <t>6110 2/2/36(ยกเลิก)</t>
  </si>
  <si>
    <t>ตู้ควบคุมไฟฟ้า  ขนาด  25  KW</t>
  </si>
  <si>
    <t>6110 2/3/36(ยกเลิก)</t>
  </si>
  <si>
    <t>ตู้ควบคุมไฟฟ้า  ขนาด  30 KW</t>
  </si>
  <si>
    <t>6110 3/3/36(ยกเลิก)</t>
  </si>
  <si>
    <t>Automatic  VOLTAGE  REGULATOR  ขนาด  75  KVA.  (ระบบไฟฟ้า  380-220V.  3 PH.4  WIRE  50</t>
  </si>
  <si>
    <t>6125 2/1/36(ยกเลิก)</t>
  </si>
  <si>
    <t>เครื่องเปลี่ยนระบบไฟฟ้ากระแสสลับเป็นกระแสตรง</t>
  </si>
  <si>
    <t>6130 3/1/36(ยกเลิก)</t>
  </si>
  <si>
    <t>เครื่องประจุไฟแบตเตอรี่  ขนาด  12  โวลท์</t>
  </si>
  <si>
    <t>6150 2/1/36(ยกเลิก)</t>
  </si>
  <si>
    <t>เครื่องตรวจสอบไฟฟ้าแรงสูง  (HIGH  VOLTAGE  DETECTOR)</t>
  </si>
  <si>
    <t>6210 4/1/36(ยกเลิก)</t>
  </si>
  <si>
    <t>โคมไฟแสงสว่างฉุกเฉิน  (EMergeNCY  LIGHT)</t>
  </si>
  <si>
    <t>2320</t>
  </si>
  <si>
    <t>6210 4/2/36(ยกเลิก)</t>
  </si>
  <si>
    <t>2420</t>
  </si>
  <si>
    <t>8110 1/1/36(ยกเลิก)</t>
  </si>
  <si>
    <t>ถังน้ำสเตลเลส  (1500  ลิตร)</t>
  </si>
  <si>
    <t>2320 2/1/37(ยกเลิก)</t>
  </si>
  <si>
    <t>รถบรรทุกขยะ  แบบอัด</t>
  </si>
  <si>
    <t>2320 4/1/37(ยกเลิก)</t>
  </si>
  <si>
    <t>รถสุขาเคลื่อนที่</t>
  </si>
  <si>
    <t>2420 1/1/37(ยกเลิก)</t>
  </si>
  <si>
    <t>รถแทรกเตอร์พร้อมอุปกรณ์</t>
  </si>
  <si>
    <t>3220</t>
  </si>
  <si>
    <t>3230</t>
  </si>
  <si>
    <t>3405</t>
  </si>
  <si>
    <t>รถฟาร์มแทรกเตอร์  ขนาดไม่ต่ำกว่า  85  แรงม้า</t>
  </si>
  <si>
    <t>3413</t>
  </si>
  <si>
    <t>3230 5/1/37(ยกเลิก)</t>
  </si>
  <si>
    <t>เลื่อยวงเดือนไฟฟ้า  ขนาด  7  นิ้ว</t>
  </si>
  <si>
    <t>3416</t>
  </si>
  <si>
    <t>3405 2/1/37(ยกเลิก)</t>
  </si>
  <si>
    <t>เครื่องตัดเหล็กไฟฟ้า  ขนาดไม่น้อยกว่า  16  นิ้ว</t>
  </si>
  <si>
    <t>3431</t>
  </si>
  <si>
    <t>3432</t>
  </si>
  <si>
    <t>3433</t>
  </si>
  <si>
    <t>3442</t>
  </si>
  <si>
    <t>3413 2/1/37(ยกเลิก)</t>
  </si>
  <si>
    <t>เครื่องเจาะคอนกรีตมือถือ  (ระบบไฟ  220  V 1   PH  50  Hz)</t>
  </si>
  <si>
    <t>3413 1/1/37(ยกเลิก)</t>
  </si>
  <si>
    <t>สว่านเจาะแบบแท่นชนิดตั้งโต๊ะ  ขนาด  11  แรงม้า  ใช้ระบบไฟ  220  V 1  PH  50  Hz</t>
  </si>
  <si>
    <t>3432 1/1/37(ยกเลิก)</t>
  </si>
  <si>
    <t>ล้อเลื่อนยกพัสดุชนิดใช้แบตเตอรี่  ขนาดไม่น้อนกว่า  1  ตัน</t>
  </si>
  <si>
    <t>3439 1/2/37(ยกเลิก)</t>
  </si>
  <si>
    <t>3439 1/1/37(ยกเลิก)</t>
  </si>
  <si>
    <t>3750</t>
  </si>
  <si>
    <t>3442 1/1/37(ยกเลิก)</t>
  </si>
  <si>
    <t>แท่นอันไฮดรอลิคขนาดแรงกดไม่น้อยกว่า  30  ตัน</t>
  </si>
  <si>
    <t>3805</t>
  </si>
  <si>
    <t>3820</t>
  </si>
  <si>
    <t>3825</t>
  </si>
  <si>
    <t>3895</t>
  </si>
  <si>
    <t>3750 1/2/37(ยกเลิก)</t>
  </si>
  <si>
    <t>3930</t>
  </si>
  <si>
    <t>3940</t>
  </si>
  <si>
    <t>3950</t>
  </si>
  <si>
    <t>3960</t>
  </si>
  <si>
    <t>3750 1/1/37(ยกเลิก)</t>
  </si>
  <si>
    <t>รถตัดหญ้าชนิดนั่งขับ  ขนาดไม่ต่ำกว่า  18  แรงม้า</t>
  </si>
  <si>
    <t>4120</t>
  </si>
  <si>
    <t>4140</t>
  </si>
  <si>
    <t>4210</t>
  </si>
  <si>
    <t>3805 6/1/37(ยกเลิก)</t>
  </si>
  <si>
    <t>4310</t>
  </si>
  <si>
    <t>ชุดเครื่องมือ  ชุดลอกคูคลอง</t>
  </si>
  <si>
    <t>4320</t>
  </si>
  <si>
    <t>3895 1/1/37(ยกเลิก)</t>
  </si>
  <si>
    <t>4440</t>
  </si>
  <si>
    <t>รถบดล้อเหล็กสั่นสะเทือน  ขนาด  1.5  ตัน</t>
  </si>
  <si>
    <t>4460</t>
  </si>
  <si>
    <t>4520</t>
  </si>
  <si>
    <t>4610</t>
  </si>
  <si>
    <t>3930 1/1/37(ยกเลิก)</t>
  </si>
  <si>
    <t>รถยกงาแซะ  ขนาด  10000  ปอนด์</t>
  </si>
  <si>
    <t>4630</t>
  </si>
  <si>
    <t>4910</t>
  </si>
  <si>
    <t>3960 1/1/37(ยกเลิก)</t>
  </si>
  <si>
    <t>ELEVATING  WORK  PLATFORM  ขนาด  300  ปอนด์</t>
  </si>
  <si>
    <t>4930</t>
  </si>
  <si>
    <t>4210 8/1/37(ยกเลิก)</t>
  </si>
  <si>
    <t>ชุดแต่งกายดับเพลิงอากาศยาน</t>
  </si>
  <si>
    <t>5110</t>
  </si>
  <si>
    <t>5120</t>
  </si>
  <si>
    <t>5130</t>
  </si>
  <si>
    <t>5133</t>
  </si>
  <si>
    <t>4310 1/1/37(ยกเลิก)</t>
  </si>
  <si>
    <t>เครื่องทำสูญญากาศ  ชนิด  2  STAGE</t>
  </si>
  <si>
    <t>5180</t>
  </si>
  <si>
    <t>4320 5/1/37(ยกเลิก)</t>
  </si>
  <si>
    <t>เครื่องปั๊มลม  (ขนาด  2  แรงม้า)</t>
  </si>
  <si>
    <t>4320 1/4/37(ยกเลิก)</t>
  </si>
  <si>
    <t>เครื่องสูบน้ำแบบ  SUBMERSIBLE  ขนาด   30  แรงม้า  (HP)</t>
  </si>
  <si>
    <t>5345</t>
  </si>
  <si>
    <t>4320 1/2/37(ยกเลิก)</t>
  </si>
  <si>
    <t>เครื่องสูบน้ำแบบ  SUBMERSIBLE  ขนาดไม่น้อยกว่า    40  แรงม้า  (HP)</t>
  </si>
  <si>
    <t>5410</t>
  </si>
  <si>
    <t>4320 1/3/37(ยกเลิก)</t>
  </si>
  <si>
    <t>เครื่องสูบน้ำแบบ  SUBMERSIBLE  ขนาดไม่น้อยกว่า    60  แรงม้า  (HP)</t>
  </si>
  <si>
    <t>5430</t>
  </si>
  <si>
    <t>4320 2/2/37(ยกเลิก)</t>
  </si>
  <si>
    <t>เครื่องสูบน้ำหอยโข่ง  ขนาด  25  แรงม้า  (ระบบไฟฟ้า  380-660V. 3PH.50Hz.)</t>
  </si>
  <si>
    <t>4320 2/1/37(ยกเลิก)</t>
  </si>
  <si>
    <t>เครื่องสูบน้ำหอยโข่ง  ขนาด  5  แรงม้า</t>
  </si>
  <si>
    <t>4320 1/1/37(ยกเลิก)</t>
  </si>
  <si>
    <t>เครื่องสูบน้ำ  SUBMERSIBLE  PUMP</t>
  </si>
  <si>
    <t>4320 5/2/37(ยกเลิก)</t>
  </si>
  <si>
    <t>4520 2/1/37(ยกเลิก)</t>
  </si>
  <si>
    <t>เครื่องทำความร้อน  ชนิดไฟฟ้า  แบบเคลื่อนได้  (PORTABLE)</t>
  </si>
  <si>
    <t>5925</t>
  </si>
  <si>
    <t>4520 1/1/37(ยกเลิก)</t>
  </si>
  <si>
    <t>เครื่องทำน้ำอุ่น</t>
  </si>
  <si>
    <t>4630 1/1/37(ยกเลิก)</t>
  </si>
  <si>
    <t>เครื่องฉีดน้ำขนาดแรงดันไม่น้อยกว่า  60  บาร์</t>
  </si>
  <si>
    <t>4910 1/2/37(ยกเลิก)</t>
  </si>
  <si>
    <t>แม่แรงไฮดรอลิคสำหรับเกียร์</t>
  </si>
  <si>
    <t>6110</t>
  </si>
  <si>
    <t>6115</t>
  </si>
  <si>
    <t>4910 1/1/37(ยกเลิก)</t>
  </si>
  <si>
    <t>6125</t>
  </si>
  <si>
    <t>แม่แรงไฮดรอสิค  (JACK)</t>
  </si>
  <si>
    <t>6130</t>
  </si>
  <si>
    <t>6150</t>
  </si>
  <si>
    <t>6210</t>
  </si>
  <si>
    <t>6230</t>
  </si>
  <si>
    <t>5120 4/1/37(ยกเลิก)</t>
  </si>
  <si>
    <t>แคล้มจับท่อ  4'</t>
  </si>
  <si>
    <t>6310</t>
  </si>
  <si>
    <t>5120 4/2/37(ยกเลิก)</t>
  </si>
  <si>
    <t>แคล้มจับท่อ  6  นิ้ว</t>
  </si>
  <si>
    <t>5120 4/3/37(ยกเลิก)</t>
  </si>
  <si>
    <t>แคล้มจับท่อ  8   นิ้ว</t>
  </si>
  <si>
    <t>6625</t>
  </si>
  <si>
    <t>5120 5/1/37(ยกเลิก)</t>
  </si>
  <si>
    <t>ชุดประแจฟันจับท่อ  ขนาด  1-2'  -1',  1' -2',  2'  -4'</t>
  </si>
  <si>
    <t>6630</t>
  </si>
  <si>
    <t>6635</t>
  </si>
  <si>
    <t>5130 4/2/37(ยกเลิก)</t>
  </si>
  <si>
    <t>กบไฟฟ้า  ขนาด  3  นิ้ว</t>
  </si>
  <si>
    <t>6675</t>
  </si>
  <si>
    <t>5130 4/1/37(ยกเลิก)</t>
  </si>
  <si>
    <t>กบไฟฟ้า  ขนาด  5  นิ้ว</t>
  </si>
  <si>
    <t>6680</t>
  </si>
  <si>
    <t>5130 3/1/37(ยกเลิก)</t>
  </si>
  <si>
    <t>6685</t>
  </si>
  <si>
    <t>เครืองเจียระไนแบบมือถือ  ขนาดไม่น้อยกว่า   7  นิ้ว</t>
  </si>
  <si>
    <t>6695</t>
  </si>
  <si>
    <t>5130 5/1/37(ยกเลิก)</t>
  </si>
  <si>
    <t>6810</t>
  </si>
  <si>
    <t>6840</t>
  </si>
  <si>
    <t>5130 2/3/37(ยกเลิก)</t>
  </si>
  <si>
    <t>สว่านไฟฟ้าแบบกระแทก  ขนาด  1_2  นิ้ว</t>
  </si>
  <si>
    <t>5130 2/2/37(ยกเลิก)</t>
  </si>
  <si>
    <t>สว่านไฟฟ้า  แบบมือถือ  ขนาด  3-8  นิ้ว</t>
  </si>
  <si>
    <t>5130 2/1/37(ยกเลิก)</t>
  </si>
  <si>
    <t>สว่านไฟฟ้าโรตารี  ขนาดไม่น้อยกว่า  1  3-8  นิ้ว</t>
  </si>
  <si>
    <t>5136 1/1/37(ยกเลิก)</t>
  </si>
  <si>
    <t>เครื่องทำเกลียวนอกของท่อประปา</t>
  </si>
  <si>
    <t>5160 4/1/37(ยกเลิก)</t>
  </si>
  <si>
    <t>5440 1/1/37(ยกเลิก)</t>
  </si>
  <si>
    <t>บันไดอลูมิเนียม  ชนิด  4  ขา  ขนาด  5  ฟุต</t>
  </si>
  <si>
    <t>5610 5/1/37(ยกเลิก)</t>
  </si>
  <si>
    <t>ลูกรัง</t>
  </si>
  <si>
    <t>6110 3/1/37(ยกเลิก)</t>
  </si>
  <si>
    <t>เครื่องควบคุมแรงดันไฟฟ้า  (VOLTAGE  REGULATOR)   ขนาด  1  KVA.  (ระบบไฟฟ้า  220 V. 1 PH</t>
  </si>
  <si>
    <t>8415</t>
  </si>
  <si>
    <t>6110 5/1/37(ยกเลิก)</t>
  </si>
  <si>
    <t>เครื่องปรับแต่งกระแสไฟฟ้า  (UPS.)  ขนาด  5  KVA</t>
  </si>
  <si>
    <t>6110 5/2/37(ยกเลิก)</t>
  </si>
  <si>
    <t>เครื่องปรับแต่งกระแสไฟฟ้า  (UPS)   ขนาด  5  KVA</t>
  </si>
  <si>
    <t>6110 3/2/37(ยกเลิก)</t>
  </si>
  <si>
    <t>POWER  CAPACITOR  ขนาด  75  KVAR  ใช้ระบบไฟฟ้า  400-230  V.3  PH.4  WIRE</t>
  </si>
  <si>
    <t>6115 612/37(ยกเลิก)</t>
  </si>
  <si>
    <t>ก  เครื่องกำเนิดไฟฟ้า  ขนาด  30  KW.  (415-240 V. 3 PH. 4  WIRE  50  Hz)  พร้อมเทรลเลอร์</t>
  </si>
  <si>
    <t>6115 303/37(ยกเลิก)</t>
  </si>
  <si>
    <t>เครื่องกำเนิดไฟฟ้ากระแสสลับ  ขนาด  3  KW.  (200  V.  1 PH.  50  Hz.)</t>
  </si>
  <si>
    <t>6115 319/37(ยกเลิก)</t>
  </si>
  <si>
    <t>เครื่องกำเนิดไฟฟ้า  ขนาด  100  KW.  (220-380 V. 3 PH.4  WIRE  50  Hz.)</t>
  </si>
  <si>
    <t>6115 306/37(ยกเลิก)</t>
  </si>
  <si>
    <t>เครื่องกำเนิดไฟฟ้า  ขนาด  10  KW.(220-380  V. 3 PH.4  WIRE  50  Hz.)</t>
  </si>
  <si>
    <t>6115 520/37(ยกเลิก)</t>
  </si>
  <si>
    <t>เครื่องกำเนิดไฟฟ้า  ขนาด  125  KW.  (120-208 V. 3 PH.4  WIRE  60  Hz.)</t>
  </si>
  <si>
    <t>6115 324/1/37(ยกเลิก)</t>
  </si>
  <si>
    <t>เครื่องกำเนิดไฟฟ้า  ขนาด  250  KW. (220-380V. 3PH. 4WIRE  50  Hz.)</t>
  </si>
  <si>
    <t>6115 312/37(ยกเลิก)</t>
  </si>
  <si>
    <t>เครื่องกำเนิดไฟฟ้า  ขนาด  30  KW.  (380-220  V.  3  PH.  4  WIRE  50  Hz.)</t>
  </si>
  <si>
    <t>6115 513/37(ยกเลิก)</t>
  </si>
  <si>
    <t>เครื่องกำเนิดไฟฟ้า  ขนาด  40   KW.  (200-115 V. 3 PH.4  WIRE  50  Hz.)  พร้อมเทรลเลอร์</t>
  </si>
  <si>
    <t>6115 314/37(ยกเลิก)</t>
  </si>
  <si>
    <t>เครื่องกำเนิดไฟฟ้า  ขนาด  50  KW.  (220-380 V. 3 PH.4  WIRE  50  Hz.)</t>
  </si>
  <si>
    <t>6115 111/37(ยกเลิก)</t>
  </si>
  <si>
    <t>เครื่องกำเนิดไฟฟ้าชนิดขับเคลื่อนด้วยเครื่องยนต์ดีเซล  ขนาด  25  KW.  (120-240  V.  1PH</t>
  </si>
  <si>
    <t>6115 326/37(ยกเลิก)</t>
  </si>
  <si>
    <t>รถผลิตกระแสไฟฟ้าสำรอง  ขนาด  300  KW.(380-220V.3PH.4  WIRE  50 Hz.)</t>
  </si>
  <si>
    <t>6150 1/1/37(ยกเลิก)</t>
  </si>
  <si>
    <t>แผงรับ - จ่ายกระแสไฟฟ้า  ชนิดใช้ก๊าซเฉื่อย  (SF 6 )  ระบบไฟฟ้า  12  KW</t>
  </si>
  <si>
    <t>6150 1/2/37(ยกเลิก)</t>
  </si>
  <si>
    <t>สวิทช์ตัดตอนแรงสูง  (LOAD  BREAK  SWITCH)  ชนิดใช้ก๊าซเฉื่อย  (SF6)  ระบบไฟฟ้า  24  KV</t>
  </si>
  <si>
    <t>6630 1/1/37(ยกเลิก)</t>
  </si>
  <si>
    <t>เครื่องตรวจสอบความเป็นกรดเป็นด่าง</t>
  </si>
  <si>
    <t>6630 2/1/37(ยกเลิก)</t>
  </si>
  <si>
    <t>ชุดตรวจสอบค่าคลอรีน  และค่าพีเอชของน้ำ</t>
  </si>
  <si>
    <t>6680 1/1/37(ยกเลิก)</t>
  </si>
  <si>
    <t>มาตรวัดน้ำ</t>
  </si>
  <si>
    <t>8110 1/37(ยกเลิก)</t>
  </si>
  <si>
    <t>ถังน้ำสะเตลเลส  (2000  ลิตร)</t>
  </si>
  <si>
    <t>2320 3/1/38(ยกเลิก)</t>
  </si>
  <si>
    <t>รถซ่อมบำรุงระบบประปา</t>
  </si>
  <si>
    <t>2640 1/1/38(ยกเลิก)</t>
  </si>
  <si>
    <t>เครื่องปะยางแบบใช้ความร้อนพร้อมอุปกรณ์</t>
  </si>
  <si>
    <t>3405 2/1/38(ยกเลิก)</t>
  </si>
  <si>
    <t>เครื่องตัดโลหะชนิดใช้แผ่นไฟเบอร์กลาส  ขนาด  14'</t>
  </si>
  <si>
    <t>3411 1/1/38(ยกเลิก)</t>
  </si>
  <si>
    <t>เครื่องเจียรจานเบรค</t>
  </si>
  <si>
    <t>3413 1/1/38(ยกเลิก)</t>
  </si>
  <si>
    <t>สว่านเจาะแบบแห่นชนิดตั้งโต๊ะ  ขนาด  1  แรงม้า  ใช้ระบบไพ่  220  V  1  PH  50  Hz</t>
  </si>
  <si>
    <t>3432 2/1/38(ยกเลิก)</t>
  </si>
  <si>
    <t>3432 1/1/38(ยกเลิก)</t>
  </si>
  <si>
    <t>เครื่องเชื่อมไฟฟ้า</t>
  </si>
  <si>
    <t>3433 2/1/38(ยกเลิก)</t>
  </si>
  <si>
    <t>ชุดเชื่อมขนาดกลาง</t>
  </si>
  <si>
    <t>3442 1/1/38(ยกเลิก)</t>
  </si>
  <si>
    <t>เครื่องอัดไฮดรอลิคแบบแท่น  ขนาดไม่น้อยกว่า  50  ตัน</t>
  </si>
  <si>
    <t>3445 1/1/38(ยกเลิก)</t>
  </si>
  <si>
    <t>เครื่องตัดโหละแผ่นด้วยระบบไฮโดรลิค</t>
  </si>
  <si>
    <t>แยกข้อมูลตามปี</t>
  </si>
  <si>
    <t>แยกข้อมูลตามกอง</t>
  </si>
  <si>
    <t>3470 1/1/38(ยกเลิก)</t>
  </si>
  <si>
    <t>เครื่องถ่วงล้อระบบไมโครโปรเซสเซอร์</t>
  </si>
  <si>
    <t>แยกข้อมูลตามเลข Spec.</t>
  </si>
  <si>
    <t>Spec.ที่ถูกยกเลิกปี</t>
  </si>
  <si>
    <t>3540 1/1/38(ยกเลิก)</t>
  </si>
  <si>
    <t>รอกไฟฟ้า  ขนาด  5  ตัน</t>
  </si>
  <si>
    <t>3740 2/1/38(ยกเลิก)</t>
  </si>
  <si>
    <t>เครื่องพ่นยา  แบบใช้แรงดันของเหลว</t>
  </si>
  <si>
    <t>เครื่องอัดน้ำยาลงดิน  ชนิดใช้เครื่องยนต์</t>
  </si>
  <si>
    <t>3740 2/2/38(ยกเลิก)</t>
  </si>
  <si>
    <t>เครื่องอัดน้ำยาลงดิน  ชนิดไฟฟ้า</t>
  </si>
  <si>
    <t>3750 2/2/38(ยกเลิก)</t>
  </si>
  <si>
    <t>3750 1/1/38(ยกเลิก)</t>
  </si>
  <si>
    <t>เครื่องตัดหญ้าแบบเข็น  (3.5  แรงม้า)</t>
  </si>
  <si>
    <t>3750 1/3/38(ยกเลิก)</t>
  </si>
  <si>
    <t>เครื่องตัดหญ้าแบบล้อจักรยาน  ขนาดไม่ต่ำกว่า  8  แรงม้า</t>
  </si>
  <si>
    <t>3750 2/2/34(ยกเลิก)</t>
  </si>
  <si>
    <t>พวงตัดหญ้า  (GANG  MOWERS)  ชนิดพวง  5</t>
  </si>
  <si>
    <t>3750 1/2/34(ยกเลิก)</t>
  </si>
  <si>
    <t>3805 1/1/33(ยกเลิก)</t>
  </si>
  <si>
    <t>3805 1/1/38(ยกเลิก)</t>
  </si>
  <si>
    <t>รถขุดตีนตะขาบ</t>
  </si>
  <si>
    <t>3805 1/2/33(ยกเลิก)</t>
  </si>
  <si>
    <t>รถขุดสำหรับวงาสายเคเบิ้ลไฟฟ้า  และท่อประปา</t>
  </si>
  <si>
    <t>3895 5/1/38(ยกเลิก)</t>
  </si>
  <si>
    <t>รถเข็นกระดกเท</t>
  </si>
  <si>
    <t>3920 1/1/38(ยกเลิก)</t>
  </si>
  <si>
    <t>เครนยกวัสดุ  ชนิดลากจูง  ขนาด  3  ตัน</t>
  </si>
  <si>
    <t>3930 1/3/38(ยกเลิก)</t>
  </si>
  <si>
    <t>3930 1/1/38(ยกเลิก)</t>
  </si>
  <si>
    <t>รถยกงาแซะ  ขนาด  4000  ปอนด์</t>
  </si>
  <si>
    <t>3930 1/2/38(ยกเลิก)</t>
  </si>
  <si>
    <t>รถยกงาแซะ  ขนาด  6000  ปอนด์</t>
  </si>
  <si>
    <t>3940 1/3/38(ยกเลิก)</t>
  </si>
  <si>
    <t>รอกโซ่มือ</t>
  </si>
  <si>
    <t>3940 1/2/38(ยกเลิก)</t>
  </si>
  <si>
    <t>รอกมือ</t>
  </si>
  <si>
    <t>4120 601/38(ยกเลิก)</t>
  </si>
  <si>
    <t>เครื่องปรับอากาศชนิดแยกส่วนแบบควบคุมความชื้นขนาด  60000  บีทียู.ชม.  ชนิดระบายความร้อนด</t>
  </si>
  <si>
    <t>4120 604/38(ยกเลิก)</t>
  </si>
  <si>
    <t>เครื่องปรับอากาศชนิดแยกส่วนแบบควบคุมความชื้นขนาดไม่ต่ำกว่า  240000  B.T.U.- hr</t>
  </si>
  <si>
    <t>4120 300/38(ยกเลิก)</t>
  </si>
  <si>
    <t>เครื่องปรับอากาศชนิดแยกส่วนแบบติดผนัง  (WALL  MOUNTED  TYPE)  ขนาดไม่ต่ำกว่า  12000  BT</t>
  </si>
  <si>
    <t>4120 301/38(ยกเลิก)</t>
  </si>
  <si>
    <t>เครื่องปรับอากาศชนิดแยกส่วนแบบติดผนัง  (WALL  MOUNTED  TYPE)  ขนาดไม่ต่ำกว่า  16000  BT</t>
  </si>
  <si>
    <t>4120 302/38(ยกเลิก)</t>
  </si>
  <si>
    <t>เครื่องปรับอากาศชนิดแยกส่วนแบบติดผนัง  (WALL  MOUNTED  TYPE)  ขนาดไม่ต่ำกว่า  18000  BT</t>
  </si>
  <si>
    <t>4120 400/38(ยกเลิก)</t>
  </si>
  <si>
    <t>เครื่องปรับอากาศชนิดแยกส่วนแบบตู้ตั้งพื้น  (PACKAGE  Unit)  ขนาดไม่ต่ำกว่า  33000  BTU-</t>
  </si>
  <si>
    <t>4120 401/38(ยกเลิก)</t>
  </si>
  <si>
    <t>เครื่องปรับอากาศชนิดแยกส่วนแบบตู้ตั้งพื้น  (PACKAGE  Unit)  ขนาดไม่ต่ำกว่า  38000  BTU-</t>
  </si>
  <si>
    <t>4120 402/38(ยกเลิก)</t>
  </si>
  <si>
    <t>เครื่องปรับอากาศชนิดแยกส่วนแบบตู้ตั้งพื้น  (PACKAGE  Unit)  ขนาดไม่ต่ำกว่า  42000  BTU-</t>
  </si>
  <si>
    <t>4120 403/38(ยกเลิก)</t>
  </si>
  <si>
    <t>เครื่องปรับอากาศชนิดแยกส่วนแบบตู้ตั้งพื้น  (PACKAGE  Unit)  ขนาดไม่ต่ำกว่า 56,000 บีทียูชม</t>
  </si>
  <si>
    <t>4120 501/38(ยกเลิก)</t>
  </si>
  <si>
    <t>เครื่องปรับอากาศชนิดแยกส่วนแบบฝังฝ้าเพดาน  ขนาดไม่ต่ำกว่า  18000  B.T.U.-hr</t>
  </si>
  <si>
    <t>เครื่องปรับอากาศชนิดแยกส่วนแบบฝังฝ้าเพดาน  ขนาดไม่ต่ำกว่า  18000  B.T.U.-hr.  (ระบบไฟฟ้</t>
  </si>
  <si>
    <t>4120 502/38(ยกเลิก)</t>
  </si>
  <si>
    <t>เครื่องปรับอากาศชนิดแยกส่วนแบบฝังฝ้าเพดาน  ขนาดไม่ต่ำกว่า  25000  B.T.U.-hr.  (ระบบไฟฟ้</t>
  </si>
  <si>
    <t>4120 503/38(ยกเลิก)</t>
  </si>
  <si>
    <t>เครื่องปรับอากาศชนิดแยกส่วนแบบฝังฝ้าเพดาน  ขนาดไม่ต่ำกว่า  36000  B.T.U.-hr.  (ระบบไฟฟ้</t>
  </si>
  <si>
    <t>4120 100/38(ยกเลิก)</t>
  </si>
  <si>
    <t>เครื่องปรับอากาศชนิดหน้าต่างขนาด  ไม่ต่ำกว่า  12000  RTU-hr.  (ระบบไฟฟ้า  220  V 1  Ph</t>
  </si>
  <si>
    <t>4120 101/38(ยกเลิก)</t>
  </si>
  <si>
    <t>เครื่องปรับอากาศชนิดหน้าต่างขนาด  ไม่ต่ำกว่า  16000  RTU-hr.  (ระบบไฟฟ้า  220  V 1  Ph</t>
  </si>
  <si>
    <t>4120 102/38(ยกเลิก)</t>
  </si>
  <si>
    <t>เครื่องปรับอากาศชนิดหน้าต่างขนาด  ไม่ต่ำกว่า  18000  RTU-hr.  (ระบบไฟฟ้า  220  V 1  Ph</t>
  </si>
  <si>
    <t>4210 5/1/38(ยกเลิก)</t>
  </si>
  <si>
    <t>เครื่องวัดระดับน้ำในบ่อบาดาล</t>
  </si>
  <si>
    <t>4210-9/1/38(ยกเลิก)</t>
  </si>
  <si>
    <t>น้ำยาดับเพลิงโฟม ชนิด ALCOHOL RESISTANT TYPE COHCEHTRATE</t>
  </si>
  <si>
    <t>4210 9/1/38(ยกเลิก)</t>
  </si>
  <si>
    <t>4310 1/1/38(ยกเลิก)</t>
  </si>
  <si>
    <t>4310 1/2/38(ยกเลิก)</t>
  </si>
  <si>
    <t>เครื่องมือสำหรับ  VAC  เครื่องเย็น</t>
  </si>
  <si>
    <t>4320 1/4/38(ยกเลิก)</t>
  </si>
  <si>
    <t>เครื่องสูบน้ำชนิดจุ่มจม  (SUBMERSIBLE  PUMP)  ขนาด  1  แรงม้า</t>
  </si>
  <si>
    <t>4320 1/1/38(ยกเลิก)</t>
  </si>
  <si>
    <t>เครื่องสูบน้ำซับเมอร์สซิเบิ้ลปั้ม  ขนาด  3  แรงม้า</t>
  </si>
  <si>
    <t>4320 1/2/38(ยกเลิก)</t>
  </si>
  <si>
    <t>เครื่องสูบน้ำแบบ  SUBMERSIBLE  ขนาด  15  แรงม้า</t>
  </si>
  <si>
    <t>4320 1/3/38(ยกเลิก)</t>
  </si>
  <si>
    <t>เครื่องสูบน้ำแบบ  SUBMERSIBLE  ขนาด  30  แรงม้า</t>
  </si>
  <si>
    <t>4320 1/5/38(ยกเลิก)</t>
  </si>
  <si>
    <t>เครื่องสูบน้ำเสีย  แบบ  SUBMERSIBLE  PUMP  ขนาด  10  ลบ.ม.-ชม.ส่งสูง  8.0  ม</t>
  </si>
  <si>
    <t>4320 1/7/38(ยกเลิก)</t>
  </si>
  <si>
    <t>เครื่องสูบน้ำเสีย  แบบ  SUBMERSIBLE  PUMP  ขนาด  20  ลบ.ม.-ชม.ส่งสูง  8.0  ม</t>
  </si>
  <si>
    <t>4320 3/2/38(ยกเลิก)</t>
  </si>
  <si>
    <t>เครื่องสูบน้ำหางนาค  ขนาดท่อดูด  -  ท่อส่ง  เส้นผ่านศูนย์กลาง  5  นิ้ว</t>
  </si>
  <si>
    <t>4320 2/2/38(ยกเลิก)</t>
  </si>
  <si>
    <t>เครื่องสูบหอยโข่ง  ขนาด  30  แรงม้า  (ระบบไฟฟ้า  380 - 660  V.  3  PH.  50  Hz.)</t>
  </si>
  <si>
    <t>4320 2/1/38(ยกเลิก)</t>
  </si>
  <si>
    <t>เครื่องสูบหอยโข่ง  ขนาด  50  แรงม้า  (ระบบไฟฟ้า  330  V  3  PH  50  Hz)</t>
  </si>
  <si>
    <t>ปั้มสูบน้ำชนิดแช่  ขนาด  5.5  KW.  (ระบบไฟฟ้า  380  V. 3PH.  50Hz.)</t>
  </si>
  <si>
    <t>4320 2/3/38(ยกเลิก)</t>
  </si>
  <si>
    <t>ปั๊มหอยโข่งกันกรด</t>
  </si>
  <si>
    <t>4320 5/1/38(ยกเลิก)</t>
  </si>
  <si>
    <t>สูบมือหมุนชนิดหลอดแก้วขนาด  5  ลิตร</t>
  </si>
  <si>
    <t>4440 1/1/38(ยกเลิก)</t>
  </si>
  <si>
    <t>เครื่องลดความชื้น  (DEHUMIDIFIER)  ขนาดไม่น้อนกว่า  70  กก. น้ำ-วัน  (ระบบไฟฟ้า220-380</t>
  </si>
  <si>
    <t>4540 1/1/38(ยกเลิก)</t>
  </si>
  <si>
    <t>เตาเผาขยะขนาด  0.5  ตัน</t>
  </si>
  <si>
    <t>4540 1/3/38(ยกเลิก)</t>
  </si>
  <si>
    <t>เตาเผาขยะขนาด  2   ตัน</t>
  </si>
  <si>
    <t>4540 1/4/38(ยกเลิก)</t>
  </si>
  <si>
    <t>เตาเผาขยะขนาด  3   ตัน</t>
  </si>
  <si>
    <t>4630 1/1/38(ยกเลิก)</t>
  </si>
  <si>
    <t>เครื่องแก้ไขท่อระบายน้ำอุดตัน  ขนาด  1  1-2' - 3'</t>
  </si>
  <si>
    <t>4630 1/2/38(ยกเลิก)</t>
  </si>
  <si>
    <t>เครื่องแก้ไขท่อระบายน้ำอุดตันขนาดท่อ  1   4   นิ้ว  ระบบแรงลม</t>
  </si>
  <si>
    <t>เครื่องฉีดน้ำแรงดันสูง</t>
  </si>
  <si>
    <t>4910 1/1/38(ยกเลิก)</t>
  </si>
  <si>
    <t>แม่แรงยกของแบบพื้นราบ</t>
  </si>
  <si>
    <t>4930 1/38(ยกเลิก)</t>
  </si>
  <si>
    <t>4940 2/1/38(ยกเลิก)</t>
  </si>
  <si>
    <t>เครื่องพ่นสี</t>
  </si>
  <si>
    <t>4940 1/1/38(ยกเลิก)</t>
  </si>
  <si>
    <t>เครื่องวิเคราะห์สภาพเครื่องยนต์</t>
  </si>
  <si>
    <t>5120/2/1/38(ยกเลิก)</t>
  </si>
  <si>
    <t>ชุดเครื่องประกอบเหล็กดูด  ขนาด  0  -  2'</t>
  </si>
  <si>
    <t>5130 1/1/38(ยกเลิก)</t>
  </si>
  <si>
    <t>กรรไกรตัดแผ่นโหละไฟฟ้าชนิดมือถือ</t>
  </si>
  <si>
    <t>5130 3/1/38(ยกเลิก)</t>
  </si>
  <si>
    <t>เครื่องขัดและตัดโลหะชนิดมือถือ</t>
  </si>
  <si>
    <t>5130 3/2/38(ยกเลิก)</t>
  </si>
  <si>
    <t>เครื่องตัดโหละแผ่นชนิดมือถือ</t>
  </si>
  <si>
    <t>5130 5/1/38(ยกเลิก)</t>
  </si>
  <si>
    <t>เครื่องเป่าลมไฟฟ้าชนิดมือถือ</t>
  </si>
  <si>
    <t>5130 2/1/38(ยกเลิก)</t>
  </si>
  <si>
    <t>สว่านไฟฟ้าชนิดกระแทกแบบโรดารี่</t>
  </si>
  <si>
    <t>5180 2/1/38(ยกเลิก)</t>
  </si>
  <si>
    <t>เครื่องบานท่อ  PB  ขนาด   1-2  -  2'</t>
  </si>
  <si>
    <t>เครื่องมือถอดล้อชนิดใช้ลม</t>
  </si>
  <si>
    <t>5210 1/4/38(ยกเลิก)</t>
  </si>
  <si>
    <t>เทปผ้า  หรือเทปใยแก้ว  ขนาด  30  เมตร</t>
  </si>
  <si>
    <t>5210 1/3/38(ยกเลิก)</t>
  </si>
  <si>
    <t>เทปผ้า  หรือเทปใยแก้ว  ขนาด  50  เมตร</t>
  </si>
  <si>
    <t>5210 1/2/38(ยกเลิก)</t>
  </si>
  <si>
    <t>เทปเหล็ก  ขนาดความยาว  30  เมตร</t>
  </si>
  <si>
    <t>5210 1/1/38(ยกเลิก)</t>
  </si>
  <si>
    <t>เทปเหล็ก  ขนาดความยาว  50  เมตร</t>
  </si>
  <si>
    <t>5220 3/1/38(ยกเลิก)</t>
  </si>
  <si>
    <t>เครืองมือตรวจสอบการรั่วไหลของ  FREON</t>
  </si>
  <si>
    <t>5345 2/1/38(ยกเลิก)</t>
  </si>
  <si>
    <t>หินเจียรไนไฟฟ้าชนิดตั้งโต๊ะใช้ไฟฟ้า</t>
  </si>
  <si>
    <t>5430 1/1/38(ยกเลิก)</t>
  </si>
  <si>
    <t>ถังบรรจุสารละลาย  ขนาดบรรจุ  200  ลิตร</t>
  </si>
  <si>
    <t>5440 1/1/38(ยกเลิก)</t>
  </si>
  <si>
    <t>บันไดอลูมิเนียม  ชนิด  2  ขา  ขนาด  10  ฟุต</t>
  </si>
  <si>
    <t>5440 1/2/38(ยกเลิก)</t>
  </si>
  <si>
    <t>บันไดอลูมิเนียม  ชนิด  4  ขา  ขนาด  5  ฟุต(ยกเลิก)</t>
  </si>
  <si>
    <t>5920 1/1/38(ยกเลิก)</t>
  </si>
  <si>
    <t>ชุดกรองหรือแยกแรงไฟฟ้ากระโชก  ขนาด  225  A.  (ระบบไฟฟ้า  380  V.  3PH.4  WIRE  50  Hz.)</t>
  </si>
  <si>
    <t>5920 1/3/38(ยกเลิก)</t>
  </si>
  <si>
    <t>ชุดกรองหรือแยกแรงไฟฟ้ากระโชก  ขนาด  30  A.  (ระบบไฟฟ้า  220-380  V.  3PH.  4  WIRE  50</t>
  </si>
  <si>
    <t>5920 1/4/38(ยกเลิก)</t>
  </si>
  <si>
    <t>ชุดกรองหรือแยกแรงไฟฟ้ากระโชก  ขนาด  60   A.  (ระบบไฟฟ้า  220-380  V.  3  PH.  4  WIRE</t>
  </si>
  <si>
    <t>5920 1/2/38(ยกเลิก)</t>
  </si>
  <si>
    <t>ชุดกรองหรือแยกแรงไฟฟ้ากระโชก  ขนาดไม่น้อยกว่า  30  A.  (ระบบไฟฟ้า  220  V.  1  PH.  50</t>
  </si>
  <si>
    <t>6110 3/1/38(ยกเลิก)</t>
  </si>
  <si>
    <t>เครื่องควบคุมแรงดันไฟฟ้า  (VOLTAGE  REGULATOR)  ขนาด  2  KVA.  (ระบบไฟฟ้า  220  V  1  P</t>
  </si>
  <si>
    <t>6110 5/1/38(ยกเลิก)</t>
  </si>
  <si>
    <t>UNINTERRUPTIBLE  POWER  SUPPLY  (UPS)  ขนาด  100  KVA.  3  PHASE  4  WIRE  50  Hz</t>
  </si>
  <si>
    <t>6115 334/38(ยกเลิก)</t>
  </si>
  <si>
    <t>เครื่องกำเนิดไฟฟ้า  ขนาด  1000  KW.  (220 -380 V.  3PH.4  WIRE  50  Hz.)</t>
  </si>
  <si>
    <t>6115 324/38(ยกเลิก)</t>
  </si>
  <si>
    <t>เครื่องกำเนิดไฟฟ้า  ขนาด  200  KW.  (220-380 V. 3 PH.4  WIRE  50  Hz.)  พร้อมเทรลเลอร์</t>
  </si>
  <si>
    <t>6115 513/38(ยกเลิก)</t>
  </si>
  <si>
    <t>เครื่องกำเนิดไฟฟ้า  ขนาด  40  KW.  (200-115  V.  3  PH.  4  WIRE  400  Hz.)</t>
  </si>
  <si>
    <t>6115 325/38(ยกเลิก)</t>
  </si>
  <si>
    <t>เครื่องกำเนิดไฟฟ้า  ขนาดไม่ต่ำกว่า  250  KW.  (220-380 V.  3  PH.4  WIRE  50  Hz.)</t>
  </si>
  <si>
    <t>-</t>
  </si>
  <si>
    <t>6125 2/1/38(ยกเลิก)</t>
  </si>
  <si>
    <t>เครื่องเปลี่ยนระบบไฟฟ้ากระแสสลับเป็นกระแสตรง  (GROUND  POWER  Unit)</t>
  </si>
  <si>
    <t>6125 4/1/38(ยกเลิก)</t>
  </si>
  <si>
    <t>เครื่องแปลความถี่ไฟฟ้า  ขนาดไม่ต่ำกว่า  10  KVA  50-400  Hz</t>
  </si>
  <si>
    <t>พัสดุ</t>
  </si>
  <si>
    <t>6150 6/1/38(ยกเลิก)</t>
  </si>
  <si>
    <t>เครื่องมือ  EARTH  TESTER</t>
  </si>
  <si>
    <t>6150 5/1/38(ยกเลิก)</t>
  </si>
  <si>
    <t>เครื่องวัดกำลังส่องสว่างของแสงไฟ  (ILLUMINATION  PHOTOMETER)</t>
  </si>
  <si>
    <t>6150 1/1/38(ยกเลิก)</t>
  </si>
  <si>
    <t>สวิทช์  ปลด-สับ  กระแสไฟฟ้า  3  เฟส  แบบแก๊ส  SF6  ชนิดแขวน  (SF6  OVER  Head  SWITCH</t>
  </si>
  <si>
    <t xml:space="preserve">  ชื่อคุณลักษณะ</t>
  </si>
  <si>
    <t>ราคาซื้อ</t>
  </si>
  <si>
    <t>6150 4/1/38(ยกเลิก)</t>
  </si>
  <si>
    <t>ENERGY  ANALYZER  FOR  THRE  PHASE  System</t>
  </si>
  <si>
    <t>6150 4/3/38(ยกเลิก)</t>
  </si>
  <si>
    <t>LIGHTING  WARNING  System</t>
  </si>
  <si>
    <t>6150 4/2/38(ยกเลิก)</t>
  </si>
  <si>
    <t>MULTI - PHASE  HERMETIC  Unit  AND  COMPONENT  ANALYZER  WITH  AMPMETER, VOLTMERER  AND</t>
  </si>
  <si>
    <t>หน่่วย</t>
  </si>
  <si>
    <t>6210 4/1/38(ยกเลิก)</t>
  </si>
  <si>
    <t>โคมไฟแสงสว่างฉุกเฉิก  (EMergeNCY  LIGHT)(ยกเลิก)</t>
  </si>
  <si>
    <t>6630 2/2/38(ยกเลิก)</t>
  </si>
  <si>
    <t>เครื่องตรวจสอบคุณภาพน้ำ</t>
  </si>
  <si>
    <t>6630 2/1/38(ยกเลิก)</t>
  </si>
  <si>
    <t>เครื่องวัดค่า  พี.   เอช.  ของน้ำแบบเคลื่อนที่</t>
  </si>
  <si>
    <t>6630 2/3/38(ยกเลิก)</t>
  </si>
  <si>
    <t>ชุดวิเคราะห์คุณภาพน้ำ  (TEST  KIT)</t>
  </si>
  <si>
    <t>ชุดวิเคราะห์  COD</t>
  </si>
  <si>
    <t>6680 4/1/38(ยกเลิก)</t>
  </si>
  <si>
    <t>เครื่องวัดความอัดของกระบอกสูบ</t>
  </si>
  <si>
    <t>6680 2/1/38(ยกเลิก)</t>
  </si>
  <si>
    <t>ชุดเกจและวาล์วพร้อมสาย</t>
  </si>
  <si>
    <t>ชุดวัดแรงดันระบบไฮดรอลิค</t>
  </si>
  <si>
    <t>6680 1/1/38(ยกเลิก)</t>
  </si>
  <si>
    <t>มาตรวัดน้ำ ขนาดเส้นผ่าศูนย์กลาง  2  1-2  นิ้ว</t>
  </si>
  <si>
    <t>PRESSURE  GAUGE</t>
  </si>
  <si>
    <t>6685 3/1/38(ยกเลิก)</t>
  </si>
  <si>
    <t>เครื่องมือวัดปริมาณลม  (VOLUME  -  AIRE  AIR  BALANCE  VA  -  105)</t>
  </si>
  <si>
    <t>หมวดหมู่</t>
  </si>
  <si>
    <t>6685 2/1/38(ยกเลิก)</t>
  </si>
  <si>
    <t>เครื่องวัดอุณหภูมิห้องสำหรับเครื่องปรับอากาศ  (THERMISTOR  ContRollED  DUALRANGE  4  LO</t>
  </si>
  <si>
    <t>ชื่อมาตรฐาน</t>
  </si>
  <si>
    <t>อยู่ระหว่างการพิจารณา คุณลักษณะฯ</t>
  </si>
  <si>
    <t>คุณลักษณะพัสดุ ฯ ที่เกี่ยวข้อง</t>
  </si>
  <si>
    <t>6830 1/1/38(ยกเลิก)</t>
  </si>
  <si>
    <t>รายละเอียด</t>
  </si>
  <si>
    <t>มาตรฐาน</t>
  </si>
  <si>
    <t>อุปกรณ์อัดแก๊สไนโตรเจน</t>
  </si>
  <si>
    <t>NFPA</t>
  </si>
  <si>
    <t>8110 1/1/38(ยกเลิก)</t>
  </si>
  <si>
    <t>ถังน้ำพลาสติกเสริมแสง</t>
  </si>
  <si>
    <t>8135 1/1/38(ยกเลิก)</t>
  </si>
  <si>
    <t>เครื่องรัดหีบห่อพัสดุ</t>
  </si>
  <si>
    <t>NFPA 385</t>
  </si>
  <si>
    <t>2320 5/1/39(ยกเลิก)</t>
  </si>
  <si>
    <t>รถเติมเชื้อเพลิงอากาศยาน</t>
  </si>
  <si>
    <t>รถเติมเชื้อเพลิง  ขนาด  6,000  แกลลอน</t>
  </si>
  <si>
    <t>2320 2/2/39(ยกเลิก)</t>
  </si>
  <si>
    <t>รถบรรทุกขยะ  ชนิด  3  ล้อ  ขนาดความจุ  3.5  ลูกบาศก์หลา</t>
  </si>
  <si>
    <t>3413 2/1/39(ยกเลิก)</t>
  </si>
  <si>
    <t>3740 1/39(ยกเลิก)</t>
  </si>
  <si>
    <t>ถังฉีดน้ำยากำจัดปลวก  ขนาดบรรจุไม่ต่ำกว่า  12  ลิตร</t>
  </si>
  <si>
    <t>3740 3/39(ยกเลิก)</t>
  </si>
  <si>
    <t>ถังฉีดน้ำยากำจัดปลวก  ขนาดบรรจุไม่ต่ำกว่า  16   ลิตร</t>
  </si>
  <si>
    <t>NFPA 407</t>
  </si>
  <si>
    <t>3740 2/39(ยกเลิก)</t>
  </si>
  <si>
    <t>ถังฉีดน้ำยากำจัดปลวกแบบสพายหลังสูบโยก  ขนาดบรรจุไม่ต่ำกว่า  13  ลิตร</t>
  </si>
  <si>
    <t>ECE</t>
  </si>
  <si>
    <t>ECE 29</t>
  </si>
  <si>
    <t>3750 1/1/39(ยกเลิก)</t>
  </si>
  <si>
    <t>เครื่องตัดหญ้า  (แบบนั่งขับ)</t>
  </si>
  <si>
    <t>3750 3/1/39(ยกเลิก)</t>
  </si>
  <si>
    <t>ชุดเครื่องพ่วงตัดหญ้า</t>
  </si>
  <si>
    <t>DOT</t>
  </si>
  <si>
    <t>3895 1/1/39(ยกเลิก)</t>
  </si>
  <si>
    <t>เครื่องเขย่าคอนกรีต</t>
  </si>
  <si>
    <t>Stainless Steel</t>
  </si>
  <si>
    <t>สแตนเลส เกรด 316</t>
  </si>
  <si>
    <t>3895 2/1/39(ยกเลิก)</t>
  </si>
  <si>
    <t>เครื่องปาดหน้าคอนกรีต</t>
  </si>
  <si>
    <t>4140 1/39(ยกเลิก)</t>
  </si>
  <si>
    <t>เครื่องเป่าลมและดูดควัน</t>
  </si>
  <si>
    <t>สแตนเลส เกรด 304</t>
  </si>
  <si>
    <t>4240 2/1/39(ยกเลิก)</t>
  </si>
  <si>
    <t>BS EN</t>
  </si>
  <si>
    <t>เข็มขัดนิรภัย  (SAFETY  BELT)</t>
  </si>
  <si>
    <t>BS EN 1361</t>
  </si>
  <si>
    <t>API</t>
  </si>
  <si>
    <t>API 1529</t>
  </si>
  <si>
    <t>EI</t>
  </si>
  <si>
    <t>EI 1581 5th EDITION</t>
  </si>
  <si>
    <t>4310 1/39(ยกเลิก)</t>
  </si>
  <si>
    <t>เครื่องอัดอากาศ  ขนาด  125  ลบ.ม.-ชม</t>
  </si>
  <si>
    <t>4320 2/39(ยกเลิก)</t>
  </si>
  <si>
    <t>เครื่องสูบน้ำดับเพลิงขับด้วยเครื่องยนต์ขนาด  500  US.GPM.  ที่ความสูงรวม  60  ม</t>
  </si>
  <si>
    <t>เครื่องสูบน้ำดับเพลิงขับด้วยเครื่องยนต์ขนาด  500  US.GPM. ที่ความสูงรวม  60  ม</t>
  </si>
  <si>
    <t>4320 1/39(ยกเลิก)</t>
  </si>
  <si>
    <t>เครื่องสูบน้ำแบบ  VERTICAL  TURBINE  PUMP  ขนาด  200  ลบ.ม.-ชม.ส่งสูง  100ม</t>
  </si>
  <si>
    <t>4440 1/1/39(ยกเลิก)</t>
  </si>
  <si>
    <t>เครื่องลเความชื้น DEHUMIDIFIER)  ขนาดไม่น้อยกว่า  100  กก.น้ำ-วัน</t>
  </si>
  <si>
    <t>4460 2/39(ยกเลิก)</t>
  </si>
  <si>
    <t>เครื่องช่วยหายใจชนิดอัดอากาศบริสุทธิ์  (COMPRESSED  AIR  BREATHING   APPARATUS)</t>
  </si>
  <si>
    <t>4460 1/39(ยกเลิก)</t>
  </si>
  <si>
    <t>เครื่องอัดอากาศช่วยหายใจชนิดเคลื่อนย้ายได้</t>
  </si>
  <si>
    <t>อยู่ระหว่างการพิจารณา คำแนะนำ</t>
  </si>
  <si>
    <t>4610 1/1/39(ยกเลิก)</t>
  </si>
  <si>
    <t>4630 1/1/39(ยกเลิก)</t>
  </si>
  <si>
    <t>4920 2/1/39(ยกเลิก)</t>
  </si>
  <si>
    <t>เครื่องตีเส้นผิวจราจร  ใช้เครื่องยนต์เบนซิน</t>
  </si>
  <si>
    <t>5130 1/39(ยกเลิก)</t>
  </si>
  <si>
    <t>เครื่องขัดมันผิวหน้าหินแกรนิตและหินอ่อน</t>
  </si>
  <si>
    <t>5130 3/1/39(ยกเลิก)</t>
  </si>
  <si>
    <t>เครื่องขัดไม้แบบจานชนิดมือถือ  ขนาด  7  นิ้ว</t>
  </si>
  <si>
    <t>5130 6/1/39(ยกเลิก)</t>
  </si>
  <si>
    <t>เครื่องไชท่อพร้อมอุปกรณ์</t>
  </si>
  <si>
    <t>รอเข้าพิจารณา คำแนะนำ</t>
  </si>
  <si>
    <t>5130 6/2/39(ยกเลิก)</t>
  </si>
  <si>
    <t>5130 2/1/39(ยกเลิก)</t>
  </si>
  <si>
    <t>สว่านไฟฟ้าแบบือถือ  ขนาด  1-2  นิ้ว</t>
  </si>
  <si>
    <t>5180 1/39(ยกเลิก)</t>
  </si>
  <si>
    <t>TMPACT  WRENCH</t>
  </si>
  <si>
    <t>5440 1/1/39(ยกเลิก)</t>
  </si>
  <si>
    <t>บันไดอลูมิเนียม  ชนิดปรับเลื่อนได้</t>
  </si>
  <si>
    <t>6115 319/39(ยกเลิก)</t>
  </si>
  <si>
    <t>เครื่องกำเนิดไฟฟ้า  ขนาด  100  KW.(220-380  V.3  PH.4  WIRE  50  Hz.)</t>
  </si>
  <si>
    <t>6115 311/39(ยกเลิก)</t>
  </si>
  <si>
    <t>เครื่องกำเนิดไฟฟ้า  ขนาด  25  KW.  (220-380  V.3  PH.4  WIRE  50  Hz.)</t>
  </si>
  <si>
    <t>6115 317/39(ยกเลิก)</t>
  </si>
  <si>
    <t>เครื่องกำเนิดไฟฟ้า  ขนาด  80  KW.(220-380  V.3  PH.4  WIRE  50  Hz.)</t>
  </si>
  <si>
    <t>6115 106/39(ยกเลิก)</t>
  </si>
  <si>
    <t>เครื่องกำเนิดไฟฟ้า  ขนาดไม่ต่ำกว่า  10  KW.  (110-220  V. 1  PH.  3  W.  50  Hz.)</t>
  </si>
  <si>
    <t>6115 111/39(ยกเลิก)</t>
  </si>
  <si>
    <t>เครื่องกำเนิดไฟฟ้า  ขนาดไม่ต่ำกว่า  25  KW.  (110-220  V.1  PH.3  WIRE  50  Hz.)</t>
  </si>
  <si>
    <t>6115 313/39(ยกเลิก)</t>
  </si>
  <si>
    <t>เครื่องกำเนิดไฟฟ้า  ขนาดไม่ต่ำกว่า  40  KW.  (220-380  V3.  PH.4  WIRE  50  Hz,)</t>
  </si>
  <si>
    <t>6115 109/39(ยกเลิก)</t>
  </si>
  <si>
    <t>เครื่องกำเนิดไฟฟ้า  ชนิดขับเคลื่อนด้วยเครื่องยนต์ดีเซล  ขนาด  17.5  KW.  (110-220  V</t>
  </si>
  <si>
    <t>6115 205/39(ยกเลิก)</t>
  </si>
  <si>
    <t>เครื่องกำเนิดไฟฟ้าชนิดขับเลื่อนด้วยเครื่องยนต์  ขนาด  7.5  KW.  (120-240  V.  1  PH  3</t>
  </si>
  <si>
    <t>6150 2/1/39(ยกเลิก)</t>
  </si>
  <si>
    <t>เครื่องตรวจสอบไฟฟ้าแรงสูง  (HIGH  VOLTAGE  DETECTER)</t>
  </si>
  <si>
    <t>6210 1/1/39(ยกเลิก)</t>
  </si>
  <si>
    <t>ชุดโคมฉายหลอด  HALOGEN  ขนาด  1000  W.  220  V</t>
  </si>
  <si>
    <t>6620 1/1/39(ยกเลิก)</t>
  </si>
  <si>
    <t>เครื่องตรวจสอบแบตเตอรี่และระบบไฟฟ้าเครื่องยนต์</t>
  </si>
  <si>
    <t>6620 1/39(ยกเลิก)</t>
  </si>
  <si>
    <t>TACHOMETER</t>
  </si>
  <si>
    <t>6635 1/39(ยกเลิก)</t>
  </si>
  <si>
    <t>เครื่องมือวัดค่าความต้านทานจำเพาะของดิน</t>
  </si>
  <si>
    <t>6685 1/39(ยกเลิก)</t>
  </si>
  <si>
    <t>DIGITAL  THERMOMETER</t>
  </si>
  <si>
    <t>2320 5/40(ยกเลิก)</t>
  </si>
  <si>
    <t>รถซ่อมเครื่องปรับอากาศ</t>
  </si>
  <si>
    <t>2320 3/40(ยกเลิก)</t>
  </si>
  <si>
    <t>รถซ่อมบำรุงเคลื่อนที่</t>
  </si>
  <si>
    <t>2320 2/40(ยกเลิก)</t>
  </si>
  <si>
    <t>2320 8/40(ยกเลิก)</t>
  </si>
  <si>
    <t>3405 5/40(ยกเลิก)</t>
  </si>
  <si>
    <t>เครื่องตัดเหล็กไฟฟ้า  (ใช้ไฟเบอร์)</t>
  </si>
  <si>
    <t>3416 1/40(ยกเลิก)</t>
  </si>
  <si>
    <t>เครื่องกลึงเอนกประสงค์</t>
  </si>
  <si>
    <t>3431 1/40(ยกเลิก)</t>
  </si>
  <si>
    <t>3431 2/40(ยกเลิก)</t>
  </si>
  <si>
    <t>เครื่องเชื่อมไฟฟ้า  ขนาด  300  แอมแปร์</t>
  </si>
  <si>
    <t>3438 1/40(ยกเลิก)</t>
  </si>
  <si>
    <t>เครื่องเชื่อมท่อ  พีวีซี</t>
  </si>
  <si>
    <t>3740 1/40(ยกเลิก)</t>
  </si>
  <si>
    <t>ชุดเครื่องอัดน้ำยาลงดินป้องกันและกำจัดแมล  พร้อมอุปกรณ์</t>
  </si>
  <si>
    <t>3750 3/40(ยกเลิก)</t>
  </si>
  <si>
    <t>เครื่องตัดหญ้าแบบนั่งขับ  ขนาด  10  แรงม้า</t>
  </si>
  <si>
    <t>3750 4/40(ยกเลิก)</t>
  </si>
  <si>
    <t>3750 2/40(ยกเลิก)</t>
  </si>
  <si>
    <t>ไถบุกเบิก  4  จาน  ขนาด  26  นิ้ว</t>
  </si>
  <si>
    <t>3750 1/40(ยกเลิก)</t>
  </si>
  <si>
    <t>ไถพรวน  7  จาน  ขนาด  26  นิ้ว</t>
  </si>
  <si>
    <t>3805 1/40(ยกเลิก)</t>
  </si>
  <si>
    <t>ชุดเครื่องมือขุดลอกคูคลอง</t>
  </si>
  <si>
    <t>3805 2/40(ยกเลิก)</t>
  </si>
  <si>
    <t>ชุดเครื่องมือขุดลอกคูคลอง  (รถขุดชนิดแขนยาว)</t>
  </si>
  <si>
    <t>3805 3/40(ยกเลิก)</t>
  </si>
  <si>
    <t>รถขุดร่องวางสายเคเบิ้ลและท่อประปา</t>
  </si>
  <si>
    <t>3805 4/40(ยกเลิก)</t>
  </si>
  <si>
    <t>3825 1/40(ยกเลิก)</t>
  </si>
  <si>
    <t>เครื่องทำเครื่องหมายถนน</t>
  </si>
  <si>
    <t>3825 2/40(ยกเลิก)</t>
  </si>
  <si>
    <t>รถพรมน้ำ  ขนาด  8000  ลิตร</t>
  </si>
  <si>
    <t>3895 2/40(ยกเลิก)</t>
  </si>
  <si>
    <t>3895 3/40(ยกเลิก)</t>
  </si>
  <si>
    <t>3895 1/40(ยกเลิก)</t>
  </si>
  <si>
    <t>เครื่องผสมคอนกรีตเครื่องยนต์ดีเซล  ขนาด  140  ลิตร</t>
  </si>
  <si>
    <t>3920 1/40(ยกเลิก)</t>
  </si>
  <si>
    <t>รถเข็น (กระดกเท)</t>
  </si>
  <si>
    <t>3930 3/40(ยกเลิก)</t>
  </si>
  <si>
    <t>รถยกงาแซะ  ขนาด  5000  ปอนด์</t>
  </si>
  <si>
    <t>3930 1/40(ยกเลิก)</t>
  </si>
  <si>
    <t>รถยกงาแซะ  ขนาด  8000  ปอนด์</t>
  </si>
  <si>
    <t>3930 2/40(ยกเลิก)</t>
  </si>
  <si>
    <t>ล้อเลื่อนยกพัสดุ</t>
  </si>
  <si>
    <t>3930 4/40(ยกเลิก)</t>
  </si>
  <si>
    <t>TRUCK  LIFT  ใช้ระบบไฟฟ้า</t>
  </si>
  <si>
    <t>3940 2/40(ยกเลิก)</t>
  </si>
  <si>
    <t>รอกไฟฟ้า  ขนาด  3  ตัน</t>
  </si>
  <si>
    <t>3940 1/40(ยกเลิก)</t>
  </si>
  <si>
    <t>รอกไฟฟ้า  ขนาด  7.5  ตัน</t>
  </si>
  <si>
    <t>4120 201/40(ยกเลิก)</t>
  </si>
  <si>
    <t>เครื่องปรับอากาศชนิดแยกส่วน  ขนาด  ไม่ต่ำกว่า  16000   BTU-Hr.  (ระบบไฟฟ้า  220  V.  1</t>
  </si>
  <si>
    <t>4120 209/40(ยกเลิก)</t>
  </si>
  <si>
    <t>เครื่องปรับอากาศชนิดแยกส่วน  ขนาด  ไม่ต่ำกว่า  180,000   BTU-Hr</t>
  </si>
  <si>
    <t>4120 202/40(ยกเลิก)</t>
  </si>
  <si>
    <t>เครื่องปรับอากาศชนิดแยกส่วน  ขนาด  ไม่ต่ำกว่า  18000   BTU-Hr.  (ระบบไฟฟ้า  220  V.  1</t>
  </si>
  <si>
    <t>4120 203/40(ยกเลิก)</t>
  </si>
  <si>
    <t>เครื่องปรับอากาศชนิดแยกส่วน  ขนาด  ไม่ต่ำกว่า  25000   BTU-Hr.  (ระบบไฟฟ้า  220  V.  1</t>
  </si>
  <si>
    <t>4120 208/40(ยกเลิก)</t>
  </si>
  <si>
    <t>เครื่องปรับอากาศชนิดแยกส่วน  ขนาด  ไม่ต่ำกว่า  70,000   BTU-Hr</t>
  </si>
  <si>
    <t>4120 209-40(1)(ยกเลิก)</t>
  </si>
  <si>
    <t>เครื่องปรับอากาศชนิดแยกส่วน  ขนาด  ไม่ต่ำกว่า  85,000   BTU-Hr</t>
  </si>
  <si>
    <t>4120 404/40(ยกเลิก)</t>
  </si>
  <si>
    <t>เครื่องปรับอากาศชนิดแยกส่วนแบบตู้ตั้งพื้น  (PACKAGE  Unit)   ขนาดไม่ต่ำกว่า  70000  BTU</t>
  </si>
  <si>
    <t>4120 405/40(ยกเลิก)</t>
  </si>
  <si>
    <t>เครื่องปรับอากาศชนิดแยกส่วนแบบตู้ตั้งพื้น  (PACKAGE  Unit)   ขนาดไม่ต่ำกว่า  85000  BTU</t>
  </si>
  <si>
    <t>4210 1/40(ยกเลิก)</t>
  </si>
  <si>
    <t>เครื่องมอดับเพลิงชนิดคานหามพร้อมอุปกรณ์ (PORTABLE FIRE PUMP) ขนาดกลาง</t>
  </si>
  <si>
    <t>4310 1/40   (ยกเลิก)</t>
  </si>
  <si>
    <t>เครื่องปั๊มลม  ขนาด  1-2  แรงม้า</t>
  </si>
  <si>
    <t>4320 8/40(ยกเลิก)</t>
  </si>
  <si>
    <t>เครื่องสูบน้ำซัมเมอร์สซิเบิ้ลปั้ม</t>
  </si>
  <si>
    <t>4320 6/40(ยกเลิก)</t>
  </si>
  <si>
    <t>เครื่องสูบน้ำแบบ  SUBMERSIBLE  ขนาด  1  แรงม้า</t>
  </si>
  <si>
    <t>4320 3/40(ยกเลิก)</t>
  </si>
  <si>
    <t>เครื่องสูบน้ำหอยโข่ง  ขนาด  15  แรงม้า  (ระบบไฟฟ้า  380  -  660  V.3  Ph.  50  Hz.)</t>
  </si>
  <si>
    <t>4320 4/40(ยกเลิก)</t>
  </si>
  <si>
    <t>เครื่องสูบน้ำหอยโข่ง  ขนาด  20  แรงม้า  (ระบบไฟฟ้า  380  -  660  V.3  Ph.  50  Hz.)</t>
  </si>
  <si>
    <t>4320 5/40(ยกเลิก)</t>
  </si>
  <si>
    <t>เครื่องสูบน้ำหอยโข่ง  ขนาด  50   แรงม้า  (ระบบไฟฟ้า  380  -  660  V.3  Ph.  50  Hz.)</t>
  </si>
  <si>
    <t>4320 7/40(ยกเลิก)</t>
  </si>
  <si>
    <t>4320 1/40(ยกเลิก)</t>
  </si>
  <si>
    <t>เครื่องสูบน้ำหางนาค  ขนาดเส้นผ่าศูนย์กลาง  ท่อส่ง  4  นิ้ว</t>
  </si>
  <si>
    <t>4320 2/40(ยกเลิก)</t>
  </si>
  <si>
    <t>เครื่องสูบน้ำหางนาค  ขนาดเส้นผ่าศูนย์กลาง  ท่อส่ง  6  นิ้ว</t>
  </si>
  <si>
    <t>4630 1/40(ยกเลิก)</t>
  </si>
  <si>
    <t>เครื่องดูดทราย</t>
  </si>
  <si>
    <t>4910 2/40(ยกเลิก)</t>
  </si>
  <si>
    <t>แม่แรง  ขนาด  20  ตัน</t>
  </si>
  <si>
    <t>4910 1/40(ยกเลิก)</t>
  </si>
  <si>
    <t>แม่แรงยกเกียร์  ขนาด  2000  ปอนด์</t>
  </si>
  <si>
    <t>4930 1/40(ยกเลิก)</t>
  </si>
  <si>
    <t>เครื่องอัดไขจารบี</t>
  </si>
  <si>
    <t>4940 2/40(ยกเลิก)</t>
  </si>
  <si>
    <t>เครื่องฉีดน้ำแรงดันสูง  ขนาด  200  บาร์</t>
  </si>
  <si>
    <t>4940 1/40(ยกเลิก)</t>
  </si>
  <si>
    <t>เครื่องทำความสะอาดทางเดินน้ำมันเชื้อเพลิงเครื่องยนต์ดีเซล</t>
  </si>
  <si>
    <t>4940 4/40(ยกเลิก)</t>
  </si>
  <si>
    <t>5110 1/40(ยกเลิก)</t>
  </si>
  <si>
    <t>กรรไกรตัดเหล็กแบบคันโยกขนาดไม่ต่ำกว่า  7  นิ้ว</t>
  </si>
  <si>
    <t>5120 5/40(ยกเลิก)</t>
  </si>
  <si>
    <t>เครื่องมือย้ำหมุดชนิดใช้แรงกระแทก</t>
  </si>
  <si>
    <t>5120 2/40(ยกเลิก)</t>
  </si>
  <si>
    <t>แคล้มจับท่อ  10  นิ้ว</t>
  </si>
  <si>
    <t>5120 1/40(ยกเลิก)</t>
  </si>
  <si>
    <t>ชุดประแจฟันจับท่อ  ขนาด  1-2' ,  1',  1' -  2' ,  2'  -  3'  ,  4'  -  6'</t>
  </si>
  <si>
    <t>5120 6/40(ยกเลิก)</t>
  </si>
  <si>
    <t>ปากกาจับชิ้นงานแบบตั้งโต๊ะ  ขนาดปากกว้าง  5  นิ้ว</t>
  </si>
  <si>
    <t>5120 7/40(ยกเลิก)</t>
  </si>
  <si>
    <t>ปากกาจับชิ้นงานแบบตั้งโต๊ะ  ขนาดปากกว้าง  8  นิ้ว</t>
  </si>
  <si>
    <t>5120 4/40(ยกเลิก)</t>
  </si>
  <si>
    <t>HAND  COMPRESSION  TOOL</t>
  </si>
  <si>
    <t>5120 3/40(ยกเลิก)</t>
  </si>
  <si>
    <t>HAND  HYDRAULIC  COMPRESSION  TOOL</t>
  </si>
  <si>
    <t>5130 7/40(ยกเลิก)</t>
  </si>
  <si>
    <t>กบไฟฟ้า  (POWER  PLANERS)  ขนาด  6  นิ้ว</t>
  </si>
  <si>
    <t>5130 6/40(ยกเลิก)</t>
  </si>
  <si>
    <t>ไขควงไฟฟ้า  (SCREWDRIVERS)</t>
  </si>
  <si>
    <t>5130 15/40(ยกเลิก)</t>
  </si>
  <si>
    <t>เครื่องแกะสลักไม้  (ROUTERS)</t>
  </si>
  <si>
    <t>5130 3/40(ยกเลิก)</t>
  </si>
  <si>
    <t>เครื่องเจาะสกัดคอนกรีต  (DEMORLTI  HAMMERS)</t>
  </si>
  <si>
    <t>5130 14/40(ยกเลิก)</t>
  </si>
  <si>
    <t>เครื่องเจียรไนแบบตั้งโต๊ะ  (KNIFE  GRINDER)</t>
  </si>
  <si>
    <t>5130 9/40(ยกเลิก)</t>
  </si>
  <si>
    <t>เครื่องเจียรไนแบบมือ ถือ  (DISC-ANGLE  GRINDER)  ขนาด  4  นิ้ว</t>
  </si>
  <si>
    <t>5130 4/40(ยกเลิก)</t>
  </si>
  <si>
    <t>เครื่องเจียรไนแบบมือถือ  (DISC-  ANGLE  GRINDERS)  ขนาด  6  นิ้ว</t>
  </si>
  <si>
    <t>5130 5/40(ยกเลิก)</t>
  </si>
  <si>
    <t>เครื่องฉลุไฟฟ้าแบบมือถือ  (JIG  SAW)  ขนาด  60  มม</t>
  </si>
  <si>
    <t>5130 12/40(ยกเลิก)</t>
  </si>
  <si>
    <t>เครื่องเซาะร่องไม้  ขนาด  12  มม</t>
  </si>
  <si>
    <t>5130 22/40(ยกเลิก)</t>
  </si>
  <si>
    <t>เครื่องตอกตะปูอเนกประสงค์ระบบอัดลม  (AIR  NAILERS)</t>
  </si>
  <si>
    <t>5130 2/40(ยกเลิก)</t>
  </si>
  <si>
    <t>เครื่องตัดและขัดโลหะชนิดมือถือขนาดไม่ต่ำกว่า  7  นิ้ว</t>
  </si>
  <si>
    <t>5130 19/40(ยกเลิก)</t>
  </si>
  <si>
    <t>เครื่องทำเดือย</t>
  </si>
  <si>
    <t>5130 16/40(ยกเลิก)</t>
  </si>
  <si>
    <t>เครื่องทำลายคอนกรีตระบบอัดลม  (ELEETRIC  BREAKER)</t>
  </si>
  <si>
    <t>5130 23/40(ยกเลิก)</t>
  </si>
  <si>
    <t>เครื่องเลื่อยฉลุ  ชนิดตั้งแท่น</t>
  </si>
  <si>
    <t>5130 20/40(ยกเลิก)</t>
  </si>
  <si>
    <t>5130 21/40(ยกเลิก)</t>
  </si>
  <si>
    <t>เครื่องไส - รางลิ้น</t>
  </si>
  <si>
    <t>5130 18/40(ยกเลิก)</t>
  </si>
  <si>
    <t>แท่นตัดไม้ชนิดปรับมุมได้  (MTTER  SAW)</t>
  </si>
  <si>
    <t>5130 8/40(ยกเลิก)</t>
  </si>
  <si>
    <t>มอเตอร์หินเจียรไน  ขนาด  8  นิ้ว</t>
  </si>
  <si>
    <t>5130 17/40(ยกเลิก)</t>
  </si>
  <si>
    <t>เลื่อยปรับมุม  (CIRCULAR  SAWS)  ขนาด  12  นิ้ว</t>
  </si>
  <si>
    <t>5130 13/40(ยกเลิก)</t>
  </si>
  <si>
    <t>สว่านไฟฟ้าชนิดเจาะคอนกรีต  ขนาด  1-2  นิ้ว</t>
  </si>
  <si>
    <t>5130 11/40(ยกเลิก)</t>
  </si>
  <si>
    <t>สว่านไฟฟ้าชนิดเจาะโลหะ  ขนาด  1-2  นิ้ว</t>
  </si>
  <si>
    <t>5130 10/40(ยกเลิก)</t>
  </si>
  <si>
    <t>สว่านไฟฟ้าโรตารี่  ขนาด  35   มม</t>
  </si>
  <si>
    <t>5136 1/40(ยกเลิก)</t>
  </si>
  <si>
    <t>5136 2/40(ยกเลิก)</t>
  </si>
  <si>
    <t>เครื่องทำเกลียวนอกใช้ไฟฟ้า  ขนาด  1-2  นิ้ว  -  4  นิ้ว</t>
  </si>
  <si>
    <t>5180 5/40(ยกเลิก)</t>
  </si>
  <si>
    <t>เครื่องวิเคราะห์สภาพ  BEARING</t>
  </si>
  <si>
    <t>5180 2/40(ยกเลิก)</t>
  </si>
  <si>
    <t>ชุดตรวจสอบจังหวะกสนจุดระเบิด  (TIMING  LIGHT)  เครื่องยนต์ดีเซล</t>
  </si>
  <si>
    <t>5180 1/40(ยกเลิก)</t>
  </si>
  <si>
    <t>ชุดถอนเกลียว</t>
  </si>
  <si>
    <t>5180 6/40(ยกเลิก)</t>
  </si>
  <si>
    <t>ชุดประแจลม  (SQUARE  DRIVE  1_2)</t>
  </si>
  <si>
    <t>5180 3/40(ยกเลิก)</t>
  </si>
  <si>
    <t>ชุดประแจลม  (SQUARE  DRIVE  3-4  INCH)</t>
  </si>
  <si>
    <t>5180 4/40(ยกเลิก)</t>
  </si>
  <si>
    <t>ประแจวัดแรงบิด  ขนาด  250  ฟุต  -  ปอนด์</t>
  </si>
  <si>
    <t>5210 1/40(ยกเลิก)</t>
  </si>
  <si>
    <t>เครื่องวัดระดับน้ำ</t>
  </si>
  <si>
    <t>5280 1/40(ยกเลิก)</t>
  </si>
  <si>
    <t>เครื่องวัดอัตราการไหลของน้ำ  (มาตราวัดน้ำ)</t>
  </si>
  <si>
    <t>6110 1/40(ยกเลิก)</t>
  </si>
  <si>
    <t>เครื่องทดลองโหลด  ขนาด  100  KW.  (DUMMY  LOAD  BANK)</t>
  </si>
  <si>
    <t>6110 2/40(ยกเลิก)</t>
  </si>
  <si>
    <t>เครื่องทดลองโหลด  ขนาด  200  KW.  (DUMMY  L0AD  BANK)</t>
  </si>
  <si>
    <t>6110 4/40(ยกเลิก)</t>
  </si>
  <si>
    <t>เครื่องปรับแต่งกระแสไฟฟ้า  ขนาด  500  VA</t>
  </si>
  <si>
    <t>6110 3/40(ยกเลิก)</t>
  </si>
  <si>
    <t>เครื่องปรับแต่งกระแสไฟฟ้า  ขนาด  5  KWA</t>
  </si>
  <si>
    <t>6110 5/40(ยกเลิก)</t>
  </si>
  <si>
    <t>แผงควบคุมไฟฟ้าแรงสูงแบบใช้  GAS  SF6  CIRCUIT  BREAKER  ขนาด  400  A.  12  KV</t>
  </si>
  <si>
    <t>6110 6/40(ยกเลิก)</t>
  </si>
  <si>
    <t>แผงควบคุมไฟฟ้าแรงสูงแบบใช้  GAS  SF6  CIRCUIT  BREAKER  ขนาด  630  A.  12  KV</t>
  </si>
  <si>
    <t>6110 7/40(ยกเลิก)</t>
  </si>
  <si>
    <t>แผงควบคุมไฟฟ้าแรงสูงแบบใช้  GAS  SF6  CIRCUIT  BREAKER  ขนาด  630  A.  22  KV</t>
  </si>
  <si>
    <t>6115 3/40(ยกเลิก)</t>
  </si>
  <si>
    <t>เครื่องกำเนิดไฟฟ้า  ขนาด  100  KW.  (200  V. 3  Ph.  3  WIRE  50  Hz</t>
  </si>
  <si>
    <t>6115 2/40(ยกเลิก)</t>
  </si>
  <si>
    <t>เครื่องกำเนิดไฟฟ้า  ขนาด  12.5    KW.  (110-220  V.  1  PH.  3  WIRE  50  Hz.)</t>
  </si>
  <si>
    <t>6115 8/40(ยกเลิก)</t>
  </si>
  <si>
    <t>เครื่องกำเนิดไฟฟ้า  ขนาด  200  KW.  (220-380  V.  3  PH  4  WIRE  50  Hz)</t>
  </si>
  <si>
    <t>6115 1/40(ยกเลิก)</t>
  </si>
  <si>
    <t>เครื่องกำเนิดไฟฟ้า  ขนาด  7.5    KW.  (110-220  V.  1  PH.  3  WIRE  50  Hz.)</t>
  </si>
  <si>
    <t>6115 6/40(ยกเลิก)</t>
  </si>
  <si>
    <t>เครื่องกำเนิดไฟฟ้าสำรอง  ขนาด  800  KW.  (220-380  V3.  PH.4  WIRE  50  Hz.)</t>
  </si>
  <si>
    <t>6115 7/40(ยกเลิก)</t>
  </si>
  <si>
    <t>6115 5/40(ยกเลิก)</t>
  </si>
  <si>
    <t>รถผลิตกระแสไฟฟ้าสำรอง  ขนาด  300  KW.  (220-380  V3.  PH.4  WIRE  50  Hz.)</t>
  </si>
  <si>
    <t>6210 1/40(ยกเลิก)</t>
  </si>
  <si>
    <t>ไฟแสดงตำแหน่งสนามบิน  (RPTATING  BEACON)</t>
  </si>
  <si>
    <t>6620 3/40(ยกเลิก)</t>
  </si>
  <si>
    <t>เครื่องวัดกำลังอัดกระบอกสูบเครื่องยนต์ดีเซล</t>
  </si>
  <si>
    <t>6620 1/40(ยกเลิก)</t>
  </si>
  <si>
    <t>เครื่องวัดกำลังอัดเครื่องยนต์เบนซิน</t>
  </si>
  <si>
    <t>6620 2/40(ยกเลิก)</t>
  </si>
  <si>
    <t>เครื่องวัดแก๊สไอเสียเครื่องยนต์เบนซิน</t>
  </si>
  <si>
    <t>6630 2/40(ยกเลิก)</t>
  </si>
  <si>
    <t>เครื่องทดลองหาความหนาแน่นของดินในสนาม</t>
  </si>
  <si>
    <t>6630 3/40(ยกเลิก)</t>
  </si>
  <si>
    <t>เครื่องทดสอบคอนกรีตแบบสนาม  ระบบ  Ultrasonic</t>
  </si>
  <si>
    <t>6630 4/40(ยกเลิก)</t>
  </si>
  <si>
    <t>เครื่อง  CONCRETE  TEST  HAMMER</t>
  </si>
  <si>
    <t>6630 1/40(ยกเลิก)</t>
  </si>
  <si>
    <t>ชุดเครื่องมือทดสอบกำลังของดินแบบ  TRIAXIAL</t>
  </si>
  <si>
    <t>6635 1/40(ยกเลิก)</t>
  </si>
  <si>
    <t>เครื่องทดสอบเสาเข็ม</t>
  </si>
  <si>
    <t>2320 2/41(ยกเลิก)</t>
  </si>
  <si>
    <t>รถบรรทุกแบบกระบะเทท้าย</t>
  </si>
  <si>
    <t>3432 1/41(ยกเลิก)</t>
  </si>
  <si>
    <t>เครื่องเชื่อมท่อ  พีอี</t>
  </si>
  <si>
    <t>3805 1/41(ยกเลิก)</t>
  </si>
  <si>
    <t>รถตักล้อยาง  ขนาดความจุบุ้งกี๋รวมไม่น้อยกว่า  2.20  ลูกบาศก์เมตร</t>
  </si>
  <si>
    <t>3960 1/41(ยกเลิก)</t>
  </si>
  <si>
    <t>ลิฟท์โดยสารขนาดไม่น้อยกว่า  550  กก.-  8  คน</t>
  </si>
  <si>
    <t>4120 207/41(ยกเลิก)</t>
  </si>
  <si>
    <t>เครื่องปรับอากาศชนิดแยกส่วนขนาดทำความเย็นไม่ต่ำกว่า  60000  บีทียู.-ชม</t>
  </si>
  <si>
    <t>4120 215/41(ยกเลิก)</t>
  </si>
  <si>
    <t>เครื่องปรับอากาศแบบแยกส่วนขนาดทำความเย็นไม่ต่ำกว่า  340000  บีทียู.-ชม</t>
  </si>
  <si>
    <t>4120 210/41(ยกเลิก)</t>
  </si>
  <si>
    <t>เครื่องปรับอากาศแบบแยกส่วนขนาดทำความเย็นไม่ต่ำกว่า  90000  บีทียู.-ชม</t>
  </si>
  <si>
    <t>4310 1/41(ยกเลิก)</t>
  </si>
  <si>
    <t>เครื่องปั๊มลม  ขนาด  1  แรงม้า</t>
  </si>
  <si>
    <t>4320 3/41(ยกเลิก)</t>
  </si>
  <si>
    <t>เครื่องสูบน้ำแบบ  SUBMERSIBLE  PUMP  ขนาด  30  แรงม้า</t>
  </si>
  <si>
    <t>4320 5/41(ยกเลิก)</t>
  </si>
  <si>
    <t>เครื่องสูบน้ำแบบ  SUBMERSIBLE  SEWAGE PUMP  ขนาด  1  แรงม้า</t>
  </si>
  <si>
    <t>4320 6/41(ยกเลิก)</t>
  </si>
  <si>
    <t>เครื่องสูบน้ำเสียแบบ  SUBMERSIBLE SEWABE PUMP  ขนาด  2  แรงม้า</t>
  </si>
  <si>
    <t>สถิติประชุม พิจารณาคุณลักษณะเฉพาะฯ</t>
  </si>
  <si>
    <t>4320 4/41(ยกเลิก)</t>
  </si>
  <si>
    <t>เครื่องสูบน้ำเสียแบบ  SUBMERSIBLE  SEWAGE  PUMP  ขนาด  1  แรงม้า</t>
  </si>
  <si>
    <t>4320 7/41(ยกเลิก)</t>
  </si>
  <si>
    <t>เครื่องสูบน้ำเสียแบบ  SUBMERSIBLE SEWAGE PUMP  ขนาด  5  แรงม้า</t>
  </si>
  <si>
    <t>4320 1/41(ยกเลิก)</t>
  </si>
  <si>
    <t>ปั้มสูบน้ำชนิดแช่  ขนาด  30  KW.  (ระบบไฟฟ้า  380  V.  3  Ph.  50  Hz.)</t>
  </si>
  <si>
    <t>4460 1/41(ยกเลิก)</t>
  </si>
  <si>
    <t>เครื่องฟอกอากาศ  (AIR  CLEANER)  ขนาดไม่น้อยกว่า  250  ลูกบาศก์ฟุตต่อเมตร</t>
  </si>
  <si>
    <t>ครั้ง</t>
  </si>
  <si>
    <t>4610 1/41(ยกเลิก)</t>
  </si>
  <si>
    <t>เครื่องจ่ายสารเคมี  (DIAPHRAM  METERING  PUMP)</t>
  </si>
  <si>
    <t>5130 4/41(ยกเลิก)</t>
  </si>
  <si>
    <t>เครืองขัดกระดาษทราย  ขนาด  4  นิ้ว  ชนิดสั่นสะเทือน  (FINISHING  SANDERS)</t>
  </si>
  <si>
    <t>5130 2/41(ยกเลิก)</t>
  </si>
  <si>
    <t>คณะกรรมการ</t>
  </si>
  <si>
    <t>เลื่อยวงเดือนไฟฟ้า  (Circular  saw)  ขนาด  9  นิ้ว</t>
  </si>
  <si>
    <t>จำนวนครั้งที่เข้าร่วม</t>
  </si>
  <si>
    <t>สถิติการเข้าประชุม</t>
  </si>
  <si>
    <t>5280 2/41(ยกเลิก)</t>
  </si>
  <si>
    <t>เครื่องวัดอัตราการไหลของน้ำ  ขนาด  100  มม.  (มาตรวัดน้ำขนาด  4  นิ้ว)</t>
  </si>
  <si>
    <t>5280 1/41(ยกเลิก)</t>
  </si>
  <si>
    <t>เครื่องวัดอัตราการไหลของน้ำ  ขนาด  50  มม.  (มาตรวัดน้ำ  ขนาด  2  นิ้ว)</t>
  </si>
  <si>
    <t>6110 1/41(ยกเลิก)</t>
  </si>
  <si>
    <t>แผงควบคุมไฟฟ้าแรงสูงแบบใช้  GAS  INSULATED  SF6  CIRCUIT  BREAKER  ขนาด  400 A.  24  KV</t>
  </si>
  <si>
    <t>ผอ.กวก.ชย.ทอ.</t>
  </si>
  <si>
    <t>6110 2/41(ยกเลิก)</t>
  </si>
  <si>
    <t>แผงควบคุมไฟฟ้าแรงสูงแบบใช้  GAS  INSULATED  SF6  CIRCUIT  BREAKER  ขนาด  630 A.  24  KV</t>
  </si>
  <si>
    <t>6115 5/41(ยกเลิก)</t>
  </si>
  <si>
    <t>เครื่องกำเนิดไฟฟ้ากระแสสลับ  ขนาด  3  KW.  (220  V. 1  PH.  50  Hz.)</t>
  </si>
  <si>
    <t>6115 6/41(ยกเลิก)</t>
  </si>
  <si>
    <t>เครื่องกำเนิดไฟฟ้า  ขนาดไม่ต่ำกว่า  250  KW.  (220-380  V.3  Ph.4  WIRE  50  Hz)</t>
  </si>
  <si>
    <t>6115 1/41(ยกเลิก)</t>
  </si>
  <si>
    <t>เครื่องกำหนดไฟฟ้า  ขนาดไม่ต่ำกว่า  20  KW.  (110-220 V. 1  Ph.3  WIRE  50  Hz.)</t>
  </si>
  <si>
    <t>6115 4/41(ยกเลิก)</t>
  </si>
  <si>
    <t>เครื่องกำหนดไฟฟ้า  ขนาดไม่ต่ำกว่า  250  KW.  (110-220 V. 3  Ph.4  WIRE  50  Hz.)</t>
  </si>
  <si>
    <t>รอง ผอ.กวก.ชย.ทอ.</t>
  </si>
  <si>
    <t>6115 2/41(ยกเลิก)</t>
  </si>
  <si>
    <t>เครื่องกำหนดไฟฟ้า  ขนาดไม่ต่ำกว่า  50  KW.  (220-380  V. 3  Ph.4  WIRE  50  Hz.)</t>
  </si>
  <si>
    <t>6115 3/41(ยกเลิก)</t>
  </si>
  <si>
    <t>เครื่องกำหนดไฟฟ้า  ขนาดไม่ต่ำกว่า  60  KW.  (110-220 V. 3  Ph.4   WIRE  50  Hz.)</t>
  </si>
  <si>
    <t>รอง ผอ.กปภ.ชย.ทอ.</t>
  </si>
  <si>
    <t>2320 8/42(ยกเลิก)</t>
  </si>
  <si>
    <t>รถกระช้าไฟฟ้า</t>
  </si>
  <si>
    <t>2320 5/42(ยกเลิก)</t>
  </si>
  <si>
    <t>รถซ่อมบูรณะบำรุงไฟฟ้า</t>
  </si>
  <si>
    <t>รอง ผอ.กฟฟ.ชย.ทอ.</t>
  </si>
  <si>
    <t>2320 2/42(ยกเลิก)</t>
  </si>
  <si>
    <t>รถดูดสิ่งปฎิกูล  ขนาดบรรจุ  3000  ลิตร</t>
  </si>
  <si>
    <t>2320 3/42(ยกเลิก)</t>
  </si>
  <si>
    <t>รถดูดสิ่งปฎิกูล ขนาดบรรจุ  6,000  ลิตร</t>
  </si>
  <si>
    <t>รอง ผอ.กรง.ชย.ทอ.</t>
  </si>
  <si>
    <t>2320 1/42(ยกเลิก)</t>
  </si>
  <si>
    <t>สัมมนา</t>
  </si>
  <si>
    <t>รถบรรทุกขยะแบบอัด</t>
  </si>
  <si>
    <t>รอง ผอ.กพย.ชย.ทอ.</t>
  </si>
  <si>
    <t>2320 4/42(ยกเลิก)</t>
  </si>
  <si>
    <t>2320 9/42(ยกเลิก)</t>
  </si>
  <si>
    <t>รอง ผอ.กสน.ชย.ทอ.</t>
  </si>
  <si>
    <t>2320 6/42(ยกเลิก)</t>
  </si>
  <si>
    <t>รถบริการซ่อมเครื่องปรับอากาศเคลื่อนที่</t>
  </si>
  <si>
    <t>3805 1/42(ยกเลิก)</t>
  </si>
  <si>
    <t>รถขุด-ตักล้อยาง  ขนาดไม่ต่ำกว่า  75  แรงม้า</t>
  </si>
  <si>
    <t>รอง ผอ.กอค.ชย.ทอ.</t>
  </si>
  <si>
    <t>3810 1/42(ยกเลิก)</t>
  </si>
  <si>
    <t>รถปั้นจั่น</t>
  </si>
  <si>
    <t>รอง ผอ.กดก.ชย.ทอ.</t>
  </si>
  <si>
    <t>3825 1/42(ยกเลิก)</t>
  </si>
  <si>
    <t>รถพรมน้ำ  ขนาดบรรจุ  6000  ลิตร</t>
  </si>
  <si>
    <t>น.ชย.ทอ.</t>
  </si>
  <si>
    <t>3930 1/42(ยกเลิก)</t>
  </si>
  <si>
    <t>รถบรรทุกแบบชานต่ำ</t>
  </si>
  <si>
    <t>รอง หก.กกบ.บก.ชย.ทอ.</t>
  </si>
  <si>
    <t>4120 211/42(ยกเลิก)</t>
  </si>
  <si>
    <t>เครื่องปรับอากาศแบบแยกส่วน  ขนาดทำความสะอาดเย็นไม่ต่ำกว่า  120000  บีทียู.-ชม</t>
  </si>
  <si>
    <t>หน.ผจง.กวก.ชย.ทอ.</t>
  </si>
  <si>
    <t>4120 200/42(ยกเลิก)</t>
  </si>
  <si>
    <t>เครื่องปรับอากาศแบบแยกส่วน  ขนาดทำความสะอาดเย็นไม่ต่ำกว่า  12000  บีทียู.-ชม</t>
  </si>
  <si>
    <t>4120 212/42(ยกเลิก)</t>
  </si>
  <si>
    <t>เครื่องปรับอากาศแบบแยกส่วน  ขนาดทำความสะอาดเย็นไม่ต่ำกว่า  180000  บีทียู.-ชม</t>
  </si>
  <si>
    <t>4120 213/42(ยกเลิก)</t>
  </si>
  <si>
    <t>เครื่องปรับอากาศแบบแยกส่วน  ขนาดทำความสะอาดเย็นไม่ต่ำกว่า  240000  บีทียู.-ชม</t>
  </si>
  <si>
    <t>4210 1/42(ยกเลิก)</t>
  </si>
  <si>
    <t>รถดับเพลิง</t>
  </si>
  <si>
    <t>4320 1/42(ยกเลิก)</t>
  </si>
  <si>
    <t>เครื่องสูบน้ำหอยโข่ง  ขนาด  2  แรงม้า</t>
  </si>
  <si>
    <t>5610 1/42(ยกเลิก)</t>
  </si>
  <si>
    <t>แอลฟัลท์ติดคอนกรีต</t>
  </si>
  <si>
    <t>6115 1/42(ยกเลิก)</t>
  </si>
  <si>
    <t>เครื่องกำเนิดไฟฟ้า  ขนาดไม่ต่ำกว่า  250  KW.  (220-380  V.3  PH.4  WIRE  50  Hz.)</t>
  </si>
  <si>
    <t>2420 1/43(ยกเลิก)</t>
  </si>
  <si>
    <t>สถิติผู้เข้าประชุม</t>
  </si>
  <si>
    <t>รถฟาร์มแทรกเตอร์  ขนาดไม่ต่ำกว่า  85  แรงม้า  พร้อมอุปกรณ์</t>
  </si>
  <si>
    <t>3441 1/43(ยกเลิก)</t>
  </si>
  <si>
    <t>เครื่องดัดท่อเหล็กด้วยกระแสไฟฟ้า</t>
  </si>
  <si>
    <t>3805 1/43(ยกเลิก)</t>
  </si>
  <si>
    <t>รถตัดหน้าขุดหลัง  ขนาดไม่ต่ำกว่า  75  แรงม้า</t>
  </si>
  <si>
    <t>3895 1/43(ยกเลิก)</t>
  </si>
  <si>
    <t>3895 2/43(ยกเลิก)</t>
  </si>
  <si>
    <t>เครื่องบดอัดดินแบบสั่นสะเทือน  (PLATE  COMPACTOR)</t>
  </si>
  <si>
    <t>3960 1/43(ยกเลิก)</t>
  </si>
  <si>
    <t>ELEVATING  WORK  PIATFORM  สูง  12  เมตร</t>
  </si>
  <si>
    <t>4320 1/43(ยกเลิก)</t>
  </si>
  <si>
    <t>เครื่องสูบน้ำแบบ  SUBMERSIBLE  PUMP  ขนาด  25  แรงม้า</t>
  </si>
  <si>
    <t>4320 2/43(ยกเลิก)</t>
  </si>
  <si>
    <t>เครื่องสูบน้ำแบบ  SUBMERSIBLE  PUMP  ขนาด  50  แรงม้า</t>
  </si>
  <si>
    <t>4320 3/43(ยกเลิก)</t>
  </si>
  <si>
    <t>เครื่องสูบน้ำหอยโข่ง  ขนาด  15  กิโลวัตต์</t>
  </si>
  <si>
    <t>4320 4/43(ยกเลิก)</t>
  </si>
  <si>
    <t>เครื่องสูบน้ำหอยโข่ง  ขนาด  18.5  กิโลวัตต์</t>
  </si>
  <si>
    <t>4320 5/43(ยกเลิก)</t>
  </si>
  <si>
    <t>4910 1/43(ยกเลิก)</t>
  </si>
  <si>
    <t>แม่แรงตะเฆ่  ขนาด  10  ตัน</t>
  </si>
  <si>
    <t>ผู้นำเสนอ และผู้ชำนาญพิเศษ</t>
  </si>
  <si>
    <t>4910 2/43(ยกเลิก)</t>
  </si>
  <si>
    <t>แม่แรงตะเฆ่  ขนาด  3  ตัน</t>
  </si>
  <si>
    <t>4940 1/43(ยกเลิก)</t>
  </si>
  <si>
    <t>5130 1/43(ยกเลิก)</t>
  </si>
  <si>
    <t>มอเตอร์หินเจียรไฟฟ้าแบบตั้งโต๊ะ  (BENCH  GRINDER)  ขนาด  6  นิ้ว</t>
  </si>
  <si>
    <t>น.อ.อภิสิทธิ์ ฯ</t>
  </si>
  <si>
    <t>น.ท.วีรพันธ์  ฯ</t>
  </si>
  <si>
    <t>น.ท. วีรพันธ์ ฯ</t>
  </si>
  <si>
    <t>น.ท.วีระพันธ์ ฯ</t>
  </si>
  <si>
    <t>น.ท.วีรพันธ์ ฯ</t>
  </si>
  <si>
    <t>น.ท.มณี ฯ</t>
  </si>
  <si>
    <t>น.ท.วิบูลย์ ฯ</t>
  </si>
  <si>
    <t>น.ต.อภิชัย ฯ</t>
  </si>
  <si>
    <t>น.ต.นพดล ฯ</t>
  </si>
  <si>
    <t>น.ท.กฤษพล ภาคนิกร</t>
  </si>
  <si>
    <t>น.ท.เจริญคักร์ เจือกโว้น</t>
  </si>
  <si>
    <t>น.อ.ปรีดา ฯ</t>
  </si>
  <si>
    <t>น.ท.สมโภชน์ นาคสิทธ์</t>
  </si>
  <si>
    <t>5920 1/43(ยกเลิก)</t>
  </si>
  <si>
    <t>น.ท.บรรพต ลัทธคุณ</t>
  </si>
  <si>
    <t>หน.ผวก.กดก.ชย.ทอ.</t>
  </si>
  <si>
    <t>ชุดกรองหรือแยกแรงไฟฟ้ากระโชก  ขนาด  300  A.  (ระบบไฟฟ้า  220 - 380 V.  3  PHASE. 4   WIRE</t>
  </si>
  <si>
    <t>ร.ท.ไพรวุฒิ ฯ</t>
  </si>
  <si>
    <t>น.ต.สุรชัย ขำสุวรรณ</t>
  </si>
  <si>
    <t>ร.ท.ศิรชัฏ ฯ</t>
  </si>
  <si>
    <t>ร.อ.ธีระยุทธ ฯ</t>
  </si>
  <si>
    <t>ร.ต.ปานชัย ฯ</t>
  </si>
  <si>
    <t>หน.ผจง.กรง.ชย.ทอ.</t>
  </si>
  <si>
    <t>6110 2/43(ยกเลิก)</t>
  </si>
  <si>
    <t>เครื่องควบคุมแรรงดันไฟฟ้าอัตโนมัติ  ขนาด  220  KVA. 220-380  V. 3  PH. 4  W.  50  Hz</t>
  </si>
  <si>
    <t>น.ต.เตรช ฯ</t>
  </si>
  <si>
    <t>น.ท.วีิบูลย์ ฯ</t>
  </si>
  <si>
    <t>ร.อ. ธีระยุทธ์ ฯ</t>
  </si>
  <si>
    <t>น.ท. มานพ ฯ</t>
  </si>
  <si>
    <t>6110 3/43(ยกเลิก)</t>
  </si>
  <si>
    <t>ร.ท.ชายหาญ ฯ</t>
  </si>
  <si>
    <t>UNINTERRUPTIBLE  POWER  SUPPLY  (UPS)  ขนาด  120  KBA.  3  Ph.  4  W.   50  Hz</t>
  </si>
  <si>
    <t>น.ต.สุเมธ สุทธารักษ์</t>
  </si>
  <si>
    <t>น.ต.สุเมธ สุทธารักษักษ์</t>
  </si>
  <si>
    <t>ร.อ.ทัพไท กลับพิษ</t>
  </si>
  <si>
    <t>ร.ต.สิวะ ฯ</t>
  </si>
  <si>
    <t>น.ต.เตช ฯ</t>
  </si>
  <si>
    <t>ร.อ.ธีระยุทธ .ฯ</t>
  </si>
  <si>
    <t>6110 1/43(ยกเลิก)</t>
  </si>
  <si>
    <t>UNINTERRUPTIBLE  POWER  SUPPLY  (UPS)  ขนาด  160  KBA.  3  PHASE.  4  WIRE  50  Hz</t>
  </si>
  <si>
    <t>น.ท.อรรถพงษ์ ฯ</t>
  </si>
  <si>
    <t>น.ต.วีรวัฒน์ ฯ</t>
  </si>
  <si>
    <t>น.ท.สุนทร ฯ</t>
  </si>
  <si>
    <t>น.ต.สุเมธ ฯ</t>
  </si>
  <si>
    <t>น.ท.กฤษพล ฯ</t>
  </si>
  <si>
    <t>น.อ.วรภาส ฯ</t>
  </si>
  <si>
    <t>น.ท.สุนทร ถิ่นทวี</t>
  </si>
  <si>
    <t>น.ต.สุุรชัย ขำสุวรรณ</t>
  </si>
  <si>
    <t>น.ท. ไชยยันต์ ฯ</t>
  </si>
  <si>
    <t>ร.อ.ทัพไท.ฯ</t>
  </si>
  <si>
    <t>น.ท.สมโภชน์ ฯ</t>
  </si>
  <si>
    <t>ร.อ. เดวิทย์ ฯ</t>
  </si>
  <si>
    <t>ร.ท.ยุทรศักดิ์ ฯ</t>
  </si>
  <si>
    <t>น.ท.วิรบุตร ฯ</t>
  </si>
  <si>
    <t>น.ท.ปลอดภัย ฯ</t>
  </si>
  <si>
    <t>ร.ท.อนันต์ สวัสดี</t>
  </si>
  <si>
    <t>น.ต.อภิชัย นพวรรณ์</t>
  </si>
  <si>
    <t>6115 1/43(ยกเลิก)</t>
  </si>
  <si>
    <t>น.อ.พงสิฤทธฺ์ .ฯ</t>
  </si>
  <si>
    <t>เครื่องกำเนิดไฟฟ้า  ขนาด  100  KW.  (120-208  V3  Ph. 4  WIRE  400  Hz.)</t>
  </si>
  <si>
    <t>6115 4/43(ยกเลิก)</t>
  </si>
  <si>
    <t>ร.ท.จักราพันธุ์</t>
  </si>
  <si>
    <t>ร.ท.ชายชาญ ฯ</t>
  </si>
  <si>
    <t>น.ต.สุรชัย ฯ</t>
  </si>
  <si>
    <t>น.อ.นาวี ฯ</t>
  </si>
  <si>
    <t>เครื่องกำเนิดไฟฟ้า  ขนาด  500  KW.  (220-308  V3.  PH. 4  WIRE  50  Hz.)</t>
  </si>
  <si>
    <t>น.อ.เฉลียว.ฯ</t>
  </si>
  <si>
    <t>6115 3/43(ยกเลิก)</t>
  </si>
  <si>
    <t>เครื่องกำเนิดไฟฟ้า  ขนาดไม่ต่ำกว่า  250  KW.  (4160  V.  3  PH.  60  Hz.)</t>
  </si>
  <si>
    <t>2320 2/44(ยกเลิก)</t>
  </si>
  <si>
    <t>2320 3/44(ยกเลิก)</t>
  </si>
  <si>
    <t>รถเติมเชื้อเพลิงอากาศยาน  ขนาดบรรจุ  8,000  ลิตร</t>
  </si>
  <si>
    <t>2320 7/44(ยกเลิก)</t>
  </si>
  <si>
    <t>2320 1/44(ยกเลิก)</t>
  </si>
  <si>
    <t>2320 4/44(ยกเลิก)</t>
  </si>
  <si>
    <t>รถบริการซ่อมเครื่องปรับอากาศเคลื่อนที่  (6 ล้อ)  พร้อมอุปกรณ์</t>
  </si>
  <si>
    <t>2320 5/44(ยกเลิก)</t>
  </si>
  <si>
    <t>รถสเปรย์ยาง</t>
  </si>
  <si>
    <t>2420 1/44(ยกเลิก)</t>
  </si>
  <si>
    <t>3405 1/44(ยกเลิก)</t>
  </si>
  <si>
    <t>เครื่องตัดปรับมุมแบบเลื่อนหัวตัด  (Slide  Compound  Saws)  ขนาด  305  มม.  (12  นิ้ว)</t>
  </si>
  <si>
    <t>3413 2/44(ยกเลิก)</t>
  </si>
  <si>
    <t>เครื่องตรวจรับรองมาตรฐานการรับแรงของเครื่องมือทดลอง</t>
  </si>
  <si>
    <t>3413 1/44(ยกเลิก)</t>
  </si>
  <si>
    <t>เครื่อง  Coring Concrete</t>
  </si>
  <si>
    <t>3520 2/44(ยกเลิก)</t>
  </si>
  <si>
    <t>ล้อเลื่อนยกพัสดุ  ขนาด  500  Kg</t>
  </si>
  <si>
    <t>3825 1/44(ยกเลิก)</t>
  </si>
  <si>
    <t>เครื่องทำเครื่องหมายสนามบิน</t>
  </si>
  <si>
    <t>3825 2/44(ยกเลิก)</t>
  </si>
  <si>
    <t>รถกวาดดูดฝุ่น</t>
  </si>
  <si>
    <t>3895 1/44(ยกเลิก)</t>
  </si>
  <si>
    <t>เครื่องรีไซเคิลแอสฟัลท์ติดคอนกรีต</t>
  </si>
  <si>
    <t>3895 2/44(ยกเลิก)</t>
  </si>
  <si>
    <t>รถบดล้อเหล็กเรียบ</t>
  </si>
  <si>
    <t>3920 1/44(ยกเลิก)</t>
  </si>
  <si>
    <t>รถยกลากระบบไฮดรอลิก</t>
  </si>
  <si>
    <t>3930 3/44(ยกเลิก)</t>
  </si>
  <si>
    <t>รถไฟฟ้าแบบนั่งขับ  4  ล้อ  บรรทุกได้  500  กก</t>
  </si>
  <si>
    <t>3930 2/44(ยกเลิก)</t>
  </si>
  <si>
    <t>รถยกงาแซะระบบไฟฟ้า ขนาด  1000  กิโลกรัม</t>
  </si>
  <si>
    <t>3930 1/44(ยกเลิก)</t>
  </si>
  <si>
    <t>รถยกพัสดุแบบบังคับด้วยระบบไฟฟ้า</t>
  </si>
  <si>
    <t>4310 1/44(ยกเลิก)</t>
  </si>
  <si>
    <t>เครื่องบรรจุเคมี  (DRY  POWDER  Unit)</t>
  </si>
  <si>
    <t>4610   44(ยกเลิก)</t>
  </si>
  <si>
    <t>เครื่องจ่ายเคมี (DIAPHRAM  METERING  PUMP)</t>
  </si>
  <si>
    <t>ลำดับ
ที่</t>
  </si>
  <si>
    <t>4610 1/44(ยกเลิก)</t>
  </si>
  <si>
    <t>5120 1/44(ยกเลิก)</t>
  </si>
  <si>
    <t>ปากกาจับถังดับเพลิงแบบตั้งพื้น</t>
  </si>
  <si>
    <t>5130 3/44(ยกเลิก)</t>
  </si>
  <si>
    <t>กบไฟฟ้า  ขนาด  136  มม.  (5  3-8  นิ้ว)</t>
  </si>
  <si>
    <t>5130 5/44(ยกเลิก)</t>
  </si>
  <si>
    <t>เครื่องขัดกระดาษทรายแบบสายพาน  (Belt  Sankder)  ขนาด  4  นิ้ว  (100  มม.)</t>
  </si>
  <si>
    <t>5130 2/44(ยกเลิก)</t>
  </si>
  <si>
    <t>สว่านขันสกรูไร้สาย  ขนาด  10  มม</t>
  </si>
  <si>
    <t>5130 1/44(ยกเลิก)</t>
  </si>
  <si>
    <t>ผอ.กพย.ชย.ทอ.</t>
  </si>
  <si>
    <t>5130 4/44(ยกเลิก)</t>
  </si>
  <si>
    <t>สว่านไฟฟ้าโรตารี่  ขนาด  24  มม</t>
  </si>
  <si>
    <t>6125 1/44(ยกเลิก)</t>
  </si>
  <si>
    <t>ผอ.กฟฟ.ชย.ทอ.</t>
  </si>
  <si>
    <t>เครื่องแปลงความถี่ไฟฟ้า  ขนาด  10  KW.  50-400  Hz</t>
  </si>
  <si>
    <t>6630 2/44(ยกเลิก)</t>
  </si>
  <si>
    <t>6630 6/44(ยกเลิก)</t>
  </si>
  <si>
    <t>เครื่องมือวิเคราะห์  Oil  &amp;  Grease  ชนิด  6  ตัวอย่าง</t>
  </si>
  <si>
    <t>6630 3/44(ยกเลิก)</t>
  </si>
  <si>
    <t>เครื่องวัดความเป็นกรด-ด่างของน้ำแบบตั้งโต๊ะ</t>
  </si>
  <si>
    <t>6630 1/44(ยกเลิก)</t>
  </si>
  <si>
    <t>เครื่องวัดค่าออกซิเจนที่ละลายในน้ำแบบมือถือ</t>
  </si>
  <si>
    <t>6630 4/44(ยกเลิก)</t>
  </si>
  <si>
    <t>เครื่องหาการตกตะกอน  (Jar  Test)</t>
  </si>
  <si>
    <t>6630 5/44(ยกเลิก)</t>
  </si>
  <si>
    <t>ตู้ดูดความชื้นอัตโนมัติ</t>
  </si>
  <si>
    <t>6635 1/44(ยกเลิก)</t>
  </si>
  <si>
    <t>เครื่องทดสอบคอนกรีตแบบสนาม  (Pulse  Velocity  Measurement)</t>
  </si>
  <si>
    <t>6635 2/44(ยกเลิก)</t>
  </si>
  <si>
    <t>เครื่องทดสอบแรงกระแทก</t>
  </si>
  <si>
    <t>นชย.ชย.ทอ.</t>
  </si>
  <si>
    <t>6645 1/44(ยกเลิก)</t>
  </si>
  <si>
    <t>เกจสำหรับไนโตรเจน  (NITROGEN  REGURATOR)</t>
  </si>
  <si>
    <t>9999 1/44(ยกเลิก)</t>
  </si>
  <si>
    <t>ชุดเครื่องมืออกแบบและผลิตเครื่องหมายตราสญลักษณ์กับป้านประชาสัมพันธ์</t>
  </si>
  <si>
    <t>น.อ.วรบุตร รพิพันธุ์</t>
  </si>
  <si>
    <t>ชุดเครื่องมือออกแบบและผลิตเครื่องหมายตราสัญลักษณ์กับป้ายประชาสัมพันธ์</t>
  </si>
  <si>
    <t>3405 2/45(ยกเลิก)</t>
  </si>
  <si>
    <t>เครื่องเลื่อยตัดโลหะชนิดสายพานขนาด  220  มม</t>
  </si>
  <si>
    <t>หน.ผจง.กสน.ชย.ทอ.</t>
  </si>
  <si>
    <t>3405 1/45(ยกเลิก)</t>
  </si>
  <si>
    <t>เครื่องเลื่อยตัดโลหะชนิดสายพานแบบมือถือ  (Portable Bandsaw)</t>
  </si>
  <si>
    <t>3441 1/45(ยกเลิก)</t>
  </si>
  <si>
    <t>เครื่องม้วนแผ่นโลหะ  ขนาด  1200  มม</t>
  </si>
  <si>
    <t>สถิติการเข้าประชุมของคณะกรรมการ (%)</t>
  </si>
  <si>
    <t>3442 1/45(ยกเลิก)</t>
  </si>
  <si>
    <t>เครื่องมือถอดประกอบข้อโซ่ตีนตะขาบ</t>
  </si>
  <si>
    <t>3442 2/45(ยกเลิก)</t>
  </si>
  <si>
    <t>ชุดอัดท่อไฮดรอลิคความดันสูง</t>
  </si>
  <si>
    <t>3805 1/45(ยกเลิก)</t>
  </si>
  <si>
    <t>รถตักหน้าขุดหลัง  ขนาดไม่ต่ำกว่า  75  แรงม้า  (ชนิดขับเคลื่อน 4 ล้อ)</t>
  </si>
  <si>
    <t>3825 1/45(ยกเลิก)</t>
  </si>
  <si>
    <t>4120 1/45(ยกเลิก)</t>
  </si>
  <si>
    <t>เครื่องทำความเย็นแบบ  AIR  COOLED  WATER  CHILLER  ขนาดไม่ต่ำกว่า  600000  BTU.-Hr</t>
  </si>
  <si>
    <t>4210 3/45(ยกเลิก)</t>
  </si>
  <si>
    <t>รถกู้ภัย - ช่วยชีวิต</t>
  </si>
  <si>
    <t>4210 1/45(ยกเลิก)</t>
  </si>
  <si>
    <t>หัวฉีดดับเพลิงชนิดปรับได้  ขนาด  1  1-2  นิ้ว</t>
  </si>
  <si>
    <t>4210 2/45(ยกเลิก)</t>
  </si>
  <si>
    <t>หัวฉีดดับเพลิงชนิดปรับได้  ขนาด  2  1-2  นิ้ว</t>
  </si>
  <si>
    <t>4320 4/45(ยกเลิก)</t>
  </si>
  <si>
    <t>4320 3/45(ยกเลิก)</t>
  </si>
  <si>
    <t>4320 5/45(ยกเลิก)</t>
  </si>
  <si>
    <t>เครื่องสูบน้ำอัตโนมัติชนิดแรงดันคงที่ขนาด  275  W</t>
  </si>
  <si>
    <t>4320 1/45(ยกเลิก)</t>
  </si>
  <si>
    <t>เครื่องสูบน้ำ  SUBMERSIBLE  PUMP  ขนาด  2  แรงม้า</t>
  </si>
  <si>
    <t>4320 2/45(ยกเลิก)</t>
  </si>
  <si>
    <t>เครื่องสูบน้ำ  SUBMERSIBLE  PUMP  ขนาด  5  แรงม้า</t>
  </si>
  <si>
    <t>4630 1/45(ยกเลิก)</t>
  </si>
  <si>
    <t>เครื่องฉีดน้ำแรงดันสูงขนาดไม่น้อยกว่า  200  BAR</t>
  </si>
  <si>
    <t>4910 1/45(ยกเลิก)</t>
  </si>
  <si>
    <t>เครื่องถอด - ใส่ยาง  ขนาด  14  -  50  นิ้ว</t>
  </si>
  <si>
    <t>6125 1/45(ยกเลิก)</t>
  </si>
  <si>
    <t>เครื่องแปลงความถี่ไฟฟ้า  ขนาด  60  kW  50 - 400  Hz</t>
  </si>
  <si>
    <t>6210 2/45(ยกเลิก)</t>
  </si>
  <si>
    <t>ชุดโคมฉายขนาด  1000  WATTS</t>
  </si>
  <si>
    <t>6210 1/45(ยกเลิก)</t>
  </si>
  <si>
    <t>ชุดไฟส่องสว่างฉุกเฉินแบบเคลื่อนที่</t>
  </si>
  <si>
    <t>6630 1/45(ยกเลิก)</t>
  </si>
  <si>
    <t>ชุดเครื่องมือวัดค่า  BOD  แบบอัตโนมัติ</t>
  </si>
  <si>
    <t>6635 5/45(ยกเลิก)</t>
  </si>
  <si>
    <t>เครื่องตรวจหาค่า  chloride  ion  concentration  ในคอนกรีต</t>
  </si>
  <si>
    <t>6635 6/45(ยกเลิก)</t>
  </si>
  <si>
    <t>เครื่องตรวจหาค่า  electrical  resistance  ของคอนกรีต</t>
  </si>
  <si>
    <t>6635 7/45(ยกเลิก)</t>
  </si>
  <si>
    <t>เครื่องตรวจหาค่า  half  cell  potential  ของเหล็กเสริมในคอนกรีต</t>
  </si>
  <si>
    <t>6635 8/45(ยกเลิก)</t>
  </si>
  <si>
    <t>เครื่องทดสอบคอนกรีตสนาม   ระบบ  Ultrasonic</t>
  </si>
  <si>
    <t>ร.ท.ศิรชัฎ บุญสิทธิ</t>
  </si>
  <si>
    <t>6635 4/45(ยกเลิก)</t>
  </si>
  <si>
    <t>เครื่องมือตรวจหาค่า  air  and  water  permeability  ของคอนกรีต</t>
  </si>
  <si>
    <t>6635 3/45(ยกเลิก)</t>
  </si>
  <si>
    <t>6635 1/45(ยกเลิก)</t>
  </si>
  <si>
    <t>ชุดทดสอบกำลังคอนกรีตขนาด  2000  kN</t>
  </si>
  <si>
    <t>6635 2/45(ยกเลิก)</t>
  </si>
  <si>
    <t>ชุดทอสอบความแข็ง  Universal</t>
  </si>
  <si>
    <t>น.ต.ธีรยุท บำรุงเชื้อ</t>
  </si>
  <si>
    <t>6670 1/45(ยกเลิก)</t>
  </si>
  <si>
    <t>เครื่องชั่งน้ำหนักไฟฟ้า</t>
  </si>
  <si>
    <t>น.ท.สมโภชน์ นาคสิทธิ</t>
  </si>
  <si>
    <t>6680 1/45(ยกเลิก)</t>
  </si>
  <si>
    <t>เครื่องวัดความเร็วรอบ</t>
  </si>
  <si>
    <t>น.ต.วสันต์ เชวงเศรษฐกุล</t>
  </si>
  <si>
    <t>6685 1/45(ยกเลิก)</t>
  </si>
  <si>
    <t>เครื่องวัดปริมาณลม</t>
  </si>
  <si>
    <t>น.ท.บรรพด ลัทธคุณ</t>
  </si>
  <si>
    <t>6685 2/45(ยกเลิก)</t>
  </si>
  <si>
    <t>นาย อมรศักดิ์ หน้านิยม</t>
  </si>
  <si>
    <t>8415 2/45(ยกเลิก)</t>
  </si>
  <si>
    <t>8415 1/45(ยกเลิก)</t>
  </si>
  <si>
    <t>น.ต.ผศ.วรุต ธรรมวินัย</t>
  </si>
  <si>
    <t>10/46(ยกเลิก)</t>
  </si>
  <si>
    <t>ชุดตรวจสอบและปรับมาตรฐานมาตรวัดน้ำ</t>
  </si>
  <si>
    <t>2320 3/46(ยกเลิก)</t>
  </si>
  <si>
    <t>รถเติมเชื้อเพลิงอากาศยาน  12,000  ลิตร</t>
  </si>
  <si>
    <t>ร.อ.ณัฐวัฒน์ ภู่ภักดี</t>
  </si>
  <si>
    <t>2320 1/46(ยกเลิก)</t>
  </si>
  <si>
    <t>รถเติมเชื้อเพลิงอากาศยาน  8,000  ลิตร</t>
  </si>
  <si>
    <t>น.ต.พิทักพงษ์ ยิ้มนรินทร์</t>
  </si>
  <si>
    <t>2320 4/46(ยกเลิก)</t>
  </si>
  <si>
    <t>2320 2/46(ยกเลิก)</t>
  </si>
  <si>
    <t>3805 1/46(ยกเลิก)</t>
  </si>
  <si>
    <t>รถตักหน้าขุดหลัง  ขนาดไม่ต่ำกว่า  75  แรงม้า  (ชนิดขับเคลื่อน  4  ล้อ)</t>
  </si>
  <si>
    <t>3810 1/46(ยกเลิก)</t>
  </si>
  <si>
    <t>รถปั่นจั่นกู้ บ. ไม่ต่ำกว่า  25  ตัน</t>
  </si>
  <si>
    <t>3895 1/46(ยกเลิก)</t>
  </si>
  <si>
    <t>เครื่องสั่นคอนกรีต</t>
  </si>
  <si>
    <t>3895 2/46(ยกเลิก)</t>
  </si>
  <si>
    <t>รถบดล้อเหล็ก</t>
  </si>
  <si>
    <t>4120 204/46(ยกเลิก)</t>
  </si>
  <si>
    <t>เครื่องปรับอากาศแบบแยกส่วนขนาดทำความเย็นได้ไม่ต่ำกว่า 32000  BTU.-Hr</t>
  </si>
  <si>
    <t>4120 214/46(ยกเลิก)</t>
  </si>
  <si>
    <t>เครื่องปรับอากาศแบบแยกส่วนขนาดทำความเย็นได้ไม่ต่ำกว่า 36000  BTU.-Hr</t>
  </si>
  <si>
    <t>4120 205/46(ยกเลิก)</t>
  </si>
  <si>
    <t>เครื่องปรับอากาศแบบแยกส่วนขนาดทำความเย็นได้ไม่ต่ำกว่า 38000 BTU.-Hr</t>
  </si>
  <si>
    <t>4120 206/46(ยกเลิก)</t>
  </si>
  <si>
    <t>เครื่องปรับอากาศแบบแยกส่วนขนาดทำความเย็นได้ไม่ต่ำกว่า 44000 BTU.-Hr</t>
  </si>
  <si>
    <t>4120 216/46(ยกเลิก)</t>
  </si>
  <si>
    <t>เครื่องปรับอากาศแบบแยกส่วนขนาดทำความเย็นได้ไม่ต่ำกว่า 600000 BTU.-Hr</t>
  </si>
  <si>
    <t>4140 1/46(ยกเลิก)</t>
  </si>
  <si>
    <t>ม่านอากาศขนาดปริมาณลมไม่ต่ำกว่า  1000  ลูกบาศก์เมตรต่อชั่วโมง</t>
  </si>
  <si>
    <t>4210 2/46(ยกเลิก)</t>
  </si>
  <si>
    <t>4210 1/46(ยกเลิก)</t>
  </si>
  <si>
    <t>สายดับเพลิง</t>
  </si>
  <si>
    <t>4320 4/46(ยกเลิก)</t>
  </si>
  <si>
    <t>เครื่องสูบน้ำขนาด  5  แรงม้า</t>
  </si>
  <si>
    <t>4320 6/46(ยกเลิก)</t>
  </si>
  <si>
    <t>เครื่องสูบน้ำมอเตอร์ไฟฟ้า  (ขนาด  2  แรงม้า)</t>
  </si>
  <si>
    <t>4320 8/46(ยกเลิก)</t>
  </si>
  <si>
    <t>เครื่องสูบน้ำมอเตอร์ไฟฟ้า  ขนาด  4  กิโลวัตต์</t>
  </si>
  <si>
    <t>เครื่องสูบน้ำมาเตอร์ไฟฟ้า  2  แรงม้า</t>
  </si>
  <si>
    <t>4320 12/46(ยกเลิก)</t>
  </si>
  <si>
    <t>เครื่องสูบน้ำหอยโข่ง  ขนาด  45  กิโลวัตต์</t>
  </si>
  <si>
    <t>4320 9/46(ยกเลิก)</t>
  </si>
  <si>
    <t>เครื่องสูบน้ำหอยโข่ง  ขนาด  5.5  กิโลวัตต์</t>
  </si>
  <si>
    <t>4320 1/46(ยกเลิก)</t>
  </si>
  <si>
    <t>เครื่องสูบน้ำอัตโนมัติขนาด  300  W</t>
  </si>
  <si>
    <t>4320 13/46(ยกเลิก)</t>
  </si>
  <si>
    <t>เครื่องสูบน้ำ  MULTISTAGE  CENTRIFUGAL  PUMPS  ขนาด  2.2  กิโลวัตต์</t>
  </si>
  <si>
    <t>4320 2/46(ยกเลิก)</t>
  </si>
  <si>
    <t>เครื่องสูบน้ำ  SUBMERSIBLE  PUMP  ขนาด  15  แรงม้า</t>
  </si>
  <si>
    <t>4320 3/46(ยกเลิก)</t>
  </si>
  <si>
    <t>เครื่องสูบน้ำ  SUBMERSIBLE  PUMP  ขนาด  20  แรงม้า</t>
  </si>
  <si>
    <t>4320 10/46(ยกเลิก)</t>
  </si>
  <si>
    <t>เครื่องสูบหอยโข่ง  ขนาด  11  กิโลวัตต์</t>
  </si>
  <si>
    <t>4320 11/46(ยกเลิก)</t>
  </si>
  <si>
    <t>เครื่องสูบหอยโข่ง  ขนาด  22  กิโลวัตต์</t>
  </si>
  <si>
    <t>4320 7/46(ยกเลิก)</t>
  </si>
  <si>
    <t>เคื่องสูบน้ำ  ขนาด  7  แรงม้า</t>
  </si>
  <si>
    <t>4440 1/46(ยกเลิก)</t>
  </si>
  <si>
    <t>เครื่องลดความชื้น  (DEHUMIDIFIER)  ขนาดไม่น้อยกว่า  100  กก.น้ำ-วัน</t>
  </si>
  <si>
    <t>4610 1/46(ยกเลิก)</t>
  </si>
  <si>
    <t>4930 1/46(ยกเลิก)</t>
  </si>
  <si>
    <t>เครื่องอัดจาระบีชนิดใช้แรงดันลมขนาดความจุ  5  US.GALLON</t>
  </si>
  <si>
    <t>4940 1/46(ยกเลิก)</t>
  </si>
  <si>
    <t>เครื่องฉีดน้ำแรงดันสูงขนาด  120  BAR</t>
  </si>
  <si>
    <t>5136 1/46(ยกเลิก)</t>
  </si>
  <si>
    <t>เครื่องทำเกลียวท่อประปาขนาด  1-2  นิ้ว-3  นิ้ว</t>
  </si>
  <si>
    <t>6110 1/46(ยกเลิก)</t>
  </si>
  <si>
    <t>เครื่องควบคุมแรงดันไฟฟ้าขนาด  25  kVA</t>
  </si>
  <si>
    <t>6110 2/46(ยกเลิก)</t>
  </si>
  <si>
    <t>UNINTERRUPTIBLE  POWER  SUPPLY  (UPS.)  ขนาด  20  kVA</t>
  </si>
  <si>
    <t>6115 1/46(ยกเลิก)</t>
  </si>
  <si>
    <t>เครื่องกำเนิดไฟฟ้า  ขนาด  300  kW.  (220-380 V.3 Ph.4  Wire  50  Hz.)</t>
  </si>
  <si>
    <t>6130 1/46(ยกเลิก)</t>
  </si>
  <si>
    <t xml:space="preserve"> เครื่องประจุไฟฟ้าแบตเตอรี่ขนาด  24  V.  100 A</t>
  </si>
  <si>
    <t>6630 1/46(ยกเลิก)</t>
  </si>
  <si>
    <t>1/47(ยกเลิก)</t>
  </si>
  <si>
    <t>เครื่องพิมพ์แบบ  ระบบดิจิตอล  (ประเภท  3600)</t>
  </si>
  <si>
    <t>3750 1/47(ยกเลิก)</t>
  </si>
  <si>
    <t>เครื่องหั่นย่อยไม้สด  5.5  แรงม้า</t>
  </si>
  <si>
    <t>3805 2/47(ยกเลิก)</t>
  </si>
  <si>
    <t>รถตักล้อยาง  100  แรงม้า</t>
  </si>
  <si>
    <t>3805 1/47(ยกเลิก)</t>
  </si>
  <si>
    <t>รถตักล้อยาง  150  แรงม้า</t>
  </si>
  <si>
    <t>3895 3/47(ยกเลิก)</t>
  </si>
  <si>
    <t>รถเข็นชนิดล้อแม็ก</t>
  </si>
  <si>
    <t>3895 2/47(ยกเลิก)</t>
  </si>
  <si>
    <t>รถเครื่องปูแอสฟัลท์ติคคอนกรีต  แบบตีนตะขาบ  (TRACKED PAVER FINISHER)</t>
  </si>
  <si>
    <t>3895 1/47(ยกเลิก)</t>
  </si>
  <si>
    <t>รถบดล้อยาง</t>
  </si>
  <si>
    <t>3930 1/47(ยกเลิก)</t>
  </si>
  <si>
    <t>รถยกงาหนีบขนาด  4000  ปอนด์</t>
  </si>
  <si>
    <t>4120 701/47(ยกเลิก)</t>
  </si>
  <si>
    <t>เครื่องปรับอากาศแบบคลื่อนที่ขนาดทำความเย็นได้ไม่ต่ำกว่า  6000  BTU.-Hr</t>
  </si>
  <si>
    <t>4120 221/47(ยกเลิก)</t>
  </si>
  <si>
    <t>เครื่องปรับอากาศแบบแยกส่วนขนาดทำความเย็นได้ไม่ต่ำกว่า  120000  BTU.-Hr</t>
  </si>
  <si>
    <t>4320 2/47(ยกเลิก)</t>
  </si>
  <si>
    <t>ผอ.กรง.ชย.ทอ.</t>
  </si>
  <si>
    <t>เครื่องสุบน้ำ  SUBMERSIBLE  PUMP  ขนาด  2.2  กิโลวัตต์</t>
  </si>
  <si>
    <t>4320 1/47(ยกเลิก)</t>
  </si>
  <si>
    <t>เครื่องสุบน้ำ  TURBINE  PUMP  ขนาด  30  แรงม้า</t>
  </si>
  <si>
    <t>4320 4/47(ยกเลิก)</t>
  </si>
  <si>
    <t>เครื่องสูบน้ำเสีย  ขนาด  22  กิโลวัตต์</t>
  </si>
  <si>
    <t>ผอ.กอค.ชย.ทอ.</t>
  </si>
  <si>
    <t>4720 1/47(ยกเลิก)</t>
  </si>
  <si>
    <t>สายเติมเชื้อเพลิงอากาศยาน</t>
  </si>
  <si>
    <t>6110 1/47(ยกเลิก)</t>
  </si>
  <si>
    <t>DYNAMIC  UNINTERRUPTIBLE  POWER  SUPPLY (D - UPS)  120 kVA</t>
  </si>
  <si>
    <t>ผอ.กสน.ชย.ทอ.</t>
  </si>
  <si>
    <t>6125 1/47(ยกเลิก)</t>
  </si>
  <si>
    <t>เครื่องแปลงความถี่ไฟฟ้า  10  kW  50-60  Hz</t>
  </si>
  <si>
    <t>6210 1/47(ยกเลิก)</t>
  </si>
  <si>
    <t>ชุดโคมฉาย  1000  WATTS  (HIGH  PRESSURE  SODIUM)</t>
  </si>
  <si>
    <t>6840 1/47(ยกเลิก)</t>
  </si>
  <si>
    <t>เคมีกำจัดแมลงทำลายไม้ (ชนิดผง)</t>
  </si>
  <si>
    <t>ประเภท/รายการ</t>
  </si>
  <si>
    <t>6840 2/47(ยกเลิก)</t>
  </si>
  <si>
    <t>เคมีกำจัดแมลงทำลายไม้  (ชนิดเหลว)</t>
  </si>
  <si>
    <t>3750 1/48(ยกเลิก)</t>
  </si>
  <si>
    <t>ชุดเครื่องพ่วงตัดหญ้าปั่นหมุน  (ROTARY)</t>
  </si>
  <si>
    <t>หน่วยนับ</t>
  </si>
  <si>
    <t>ราคาต่อหน่วย (รวมภาษีมูลค่าเพิ่ม)
 (บาท)</t>
  </si>
  <si>
    <t>คุณลักษณะเฉพาะสังเขป
 (หน้า )</t>
  </si>
  <si>
    <t>3930 1/48(ยกเลิก)</t>
  </si>
  <si>
    <t>4120 207/48(ยกเลิก)</t>
  </si>
  <si>
    <t>เครื่องปรับอากาศแบบแยกส่วน  ขนาดทำความเย็นได้ไม่ต่ำกว่า  60000  BTU  .- Hr</t>
  </si>
  <si>
    <t>น.เทคนิคช่างโยธา กวก.ชย.ทอ.(๑)</t>
  </si>
  <si>
    <t>4120 210/48(ยกเลิก)</t>
  </si>
  <si>
    <t>เครื่องปรับอากาศแบบแยกส่วน  ขนาดทำความเย็นได้ไม่ต่ำกว่า  90000  BTU  .- Hr</t>
  </si>
  <si>
    <t>4120 402/48(ยกเลิก)</t>
  </si>
  <si>
    <t>เครื่องปรับอากาศแบบแยกส่วนชนิดตู้ตั้งพื้น  ขนาดทำความเย็นได้ไม่ต่ำกว่า  42000  BTU  .-</t>
  </si>
  <si>
    <t>น.เทคนิคช่างโยธา กวก.ชย.ทอ.(๒)</t>
  </si>
  <si>
    <t>4210 1/48(ยกเลิก)</t>
  </si>
  <si>
    <t>เครื่องดับเพลิงยกหิ้ว  ชนิดก๊าชคาร์บอนไดออกไซด์  (co2)</t>
  </si>
  <si>
    <t>เครื่องดับเพลิงยกหิ้ว ชนิดสารเหลวระเหยประเภทสารสะอาด  (Clean   Agent) 10  ปอนด์</t>
  </si>
  <si>
    <t>4210 2/48(ยกเลิก)</t>
  </si>
  <si>
    <t>เครื่องดับเพลิงยกหิ้ว ชนิดสารเหลวระเหยประเภทสารสะอาด (Clean Agent) 10 ปอนด์</t>
  </si>
  <si>
    <t>4320 4/48(ยกเลิก)</t>
  </si>
  <si>
    <t>4320 2/48(ยกเลิก)</t>
  </si>
  <si>
    <t>เครื่องสูบน้ำอัตโนมัติ  400  วัตต์</t>
  </si>
  <si>
    <t>4320 1/48(ยกเลิก)</t>
  </si>
  <si>
    <t>เครื่องสูบน้ำ SUBMERSIBLE  PUMP  0.4  กิโลวัตต์</t>
  </si>
  <si>
    <t>4320 3/48(ยกเลิก)</t>
  </si>
  <si>
    <t>เครื่องสูบน้ำ  SUBMERSIBLE  PUMP  20  แรงม้า</t>
  </si>
  <si>
    <t>25 - 27</t>
  </si>
  <si>
    <t>4/48(ยกเลิก)</t>
  </si>
  <si>
    <t>ชุด  Automatic  TRANSFER  SWITCH  (ATS)  600 A. 3 P</t>
  </si>
  <si>
    <t>27 - 30</t>
  </si>
  <si>
    <t>30 - 31</t>
  </si>
  <si>
    <t>4520 5/48(ยกเลิก)</t>
  </si>
  <si>
    <t>31 - 32</t>
  </si>
  <si>
    <t>เตาต้มน้ำร้อนเพี่ออบสมุนไพร</t>
  </si>
  <si>
    <t>32 - 33</t>
  </si>
  <si>
    <t>33 - 34</t>
  </si>
  <si>
    <t>5610 2/48(ยกเลิก)</t>
  </si>
  <si>
    <t>34 - 35</t>
  </si>
  <si>
    <t>ทรายผสมคอนกรีต</t>
  </si>
  <si>
    <t>5610 3/48(ยกเลิก)</t>
  </si>
  <si>
    <t>รถฟาร์มแทรกเตอร์ ชนิดขับเคลื่อน 4 ล้อ ขนาด 40 แรงม้า</t>
  </si>
  <si>
    <t>รถฟาร์มแทรกเตอร์ ชนิดขับเคลื่อน 4 ล้อ ขนาด 85 แรงม้า</t>
  </si>
  <si>
    <t>5610 1/48(ยกเลิก)</t>
  </si>
  <si>
    <t>หินคลุก  (GRADE A, B, C และ  D)</t>
  </si>
  <si>
    <t>6110 1/48(ยกเลิก)</t>
  </si>
  <si>
    <t>เครื่องควบคุมกระแสไฟฟ้าคงที่  (CONSTANT  CURRENT  REGULATOR)  20  kVA</t>
  </si>
  <si>
    <t>6115 1/48(ยกเลิก)</t>
  </si>
  <si>
    <t>เครื่องกำเนิดไฟฟ้า  300  kW.  (220-380  V. 3 Ph.4 Wire  50  Hz)</t>
  </si>
  <si>
    <t>6680 1/48(ยกเลิก)</t>
  </si>
  <si>
    <t>ชุดเกจและวาล์วพร้อมสายเติมน้ำยาเครื่องทำความเย็น</t>
  </si>
  <si>
    <t>2320 1/49 (ยกเลิก)</t>
  </si>
  <si>
    <t>40 - 41</t>
  </si>
  <si>
    <t>รถดูดสิ่งปฏิกูล 6000 ลิตร</t>
  </si>
  <si>
    <t>2420 1/49(ยกเลิก)</t>
  </si>
  <si>
    <t>รถฟาร์มแทรกเตอร์  25  แรงม้า</t>
  </si>
  <si>
    <t>43 - 44</t>
  </si>
  <si>
    <t>2815 1/49(ยกเลิก)</t>
  </si>
  <si>
    <t>เครื่องยนต์ดีเซล 18  แรงม้า</t>
  </si>
  <si>
    <t>3750 1/49(ยกเลิก)</t>
  </si>
  <si>
    <t>เครื่องหั่นย่อยไม้สด  16  แรงม้า</t>
  </si>
  <si>
    <t>3930 3/49(ยกเลิก)</t>
  </si>
  <si>
    <t>48 - 53</t>
  </si>
  <si>
    <t>53 - 54</t>
  </si>
  <si>
    <t>น.ท.สิวะ สุริยฉาย</t>
  </si>
  <si>
    <t>3930 1/49(ยกเลิก)</t>
  </si>
  <si>
    <t>รถยกงาแซะ 10,000  ปอนด์</t>
  </si>
  <si>
    <t>3930 2/49(ยกเลิก)</t>
  </si>
  <si>
    <t>รถยกงาแซะ 6 ตัน</t>
  </si>
  <si>
    <t>3940 1/49(ยกเลิก)</t>
  </si>
  <si>
    <t>รอกดึงสาย ขนาด 2 ตัน</t>
  </si>
  <si>
    <t xml:space="preserve">ร.อ.ภูกาชัย </t>
  </si>
  <si>
    <t>3960 1/49(ยกเลิก)</t>
  </si>
  <si>
    <t>ลิฟต์ส่งวัสดุ  50  กิโลกรัม</t>
  </si>
  <si>
    <t>ขนาดเส้นทแยงมมุ ยาวกวา่  200 นิ้ว</t>
  </si>
  <si>
    <t>เครื่องดับเพลิงยกหิ้ว ชนิดสารเหลวระเหยแยกประเภทสารสะอาด (Clean Agent) ขนาด 10 ปอนด์</t>
  </si>
  <si>
    <t>ขนาดสงู กวา่  3,400 ANSI Lumens</t>
  </si>
  <si>
    <t>น.ต.สุรชัย รำสุวรรณ</t>
  </si>
  <si>
    <t>4210 1/49(ยกเลิก)</t>
  </si>
  <si>
    <t>ขนาดสงู กวา่  4,900 ANSI Lumens</t>
  </si>
  <si>
    <t>ความละเอยี ด 21 ลา้ นพกิ เซลขนึ้  ไป</t>
  </si>
  <si>
    <t>น.ท.ทินกร บุญยเลขา</t>
  </si>
  <si>
    <t>4310 1/49(ยกเลิก)</t>
  </si>
  <si>
    <t>ขนาดสงู กวา่  32 นวิ้</t>
  </si>
  <si>
    <t>ขนาดสงู กวา่  55 นวิ้</t>
  </si>
  <si>
    <t>4310 2/49(ยกเลิก)</t>
  </si>
  <si>
    <t>น.ต.อัคนี ศรีสุนทรคีรี</t>
  </si>
  <si>
    <t>4320 2/49(ยกเลิก)</t>
  </si>
  <si>
    <t>เครื่องสูบน้ำเสียแบบ  SUBMERSIBLE  SEWAGE PUMP  7.5  กิโลวัตต์</t>
  </si>
  <si>
    <t>ขนาดสงู กวา่  20 คิวบกิ ฟตุ</t>
  </si>
  <si>
    <t>4320 1/49(ยกเลิก)</t>
  </si>
  <si>
    <t>น.ต.ธีระยุทธ บำรุงเชื้อ</t>
  </si>
  <si>
    <t>เครื่องสูบน้ำ  SUBMERSIBLE  PUMP  7.5  กิโลวัตต์</t>
  </si>
  <si>
    <t>ขนาดสงู กวา่  45 คิวบกิ ฟตุ</t>
  </si>
  <si>
    <t>60 - 61</t>
  </si>
  <si>
    <t>4440 1/49(ยกเลิก)</t>
  </si>
  <si>
    <t>เครื่องลดความชื้น (DEHUMIDIFIER)  14  กิโลกรัมน้ำต่อวัน</t>
  </si>
  <si>
    <t>เครื่องตัดหญ้า แบบข้ออ่อน</t>
  </si>
  <si>
    <t>เครื่องตัดหญ้า แบบเข็น</t>
  </si>
  <si>
    <t>เครื่องตัดหญ้า แบบล้อจักรยาน</t>
  </si>
  <si>
    <t>เครื่องตัดหญ้า แบบนั่งขับ</t>
  </si>
  <si>
    <t>น.ต.ปิยะวุฒิ กล่ำอุไร</t>
  </si>
  <si>
    <t>4520 2/49(ยกเลิก)</t>
  </si>
  <si>
    <t>เครื่องทำน้ำร้อน  6000  วัตต์</t>
  </si>
  <si>
    <t>4520 1/49(ยกเลิก)</t>
  </si>
  <si>
    <t>เครื่องทำน้ำอุ่น  3500  วัตต์</t>
  </si>
  <si>
    <t>5110 1/49(ยกเลิก)</t>
  </si>
  <si>
    <t>เคเบิ้ลคัทเตอร์  (CABLE CUTTER)  30  MM.  ชนิดหุ้มฉนวน</t>
  </si>
  <si>
    <t>5110 2/49(ยกเลิก)</t>
  </si>
  <si>
    <t>เคเบิ้ลคัทเตอร์  (CABLE  CUTTER)  50  MM</t>
  </si>
  <si>
    <t>5120 2/49(ยกเลิก)</t>
  </si>
  <si>
    <t>แม่แรงตะเฆ่  10  ตัน</t>
  </si>
  <si>
    <t>64 - 65</t>
  </si>
  <si>
    <t>5120 1/49(ยกเลิก)</t>
  </si>
  <si>
    <t>แม่แรงตะเฆ่  3  ตัน</t>
  </si>
  <si>
    <t>5130 1/49(ยกเลิก)</t>
  </si>
  <si>
    <t>เลื่อยฉลุไฟฟ้า  ขนาดตัดไม้  60  มม</t>
  </si>
  <si>
    <t>6110 1/49(ยกเลิก)</t>
  </si>
  <si>
    <t>แผงควบคุมไฟฟ้าแรงสูง  630 A. 24 KV</t>
  </si>
  <si>
    <t>6115 1/49(ยกเลิก)</t>
  </si>
  <si>
    <t>เครื่องกำเนิดไฟฟ้า  400 kw.  (200-380  v. 3 ph.4 Wrie 50 Hz)</t>
  </si>
  <si>
    <t>6125 1/49(ยกเลิก)</t>
  </si>
  <si>
    <t>เครี่องแปลงความถี่ไฟฟ้า  90  KVA.  50-400 Hz</t>
  </si>
  <si>
    <t>6210 1/49(ยกเลิก)</t>
  </si>
  <si>
    <t>ชุดโคมไฟฟ้าบอกตำแหน่งสนามบินสำหรับ ฮ (HELIPORT  BEACON)</t>
  </si>
  <si>
    <t>6210 3/49(ยกเลิก)</t>
  </si>
  <si>
    <t>สถิติการเข้าประชุมของผู้ชำนาญการพิเศษ</t>
  </si>
  <si>
    <t>ชุดโคมไฟสัญญาณกำหนดมุมร่อนสำหรับ ฮ. (HAPI)</t>
  </si>
  <si>
    <t>2320 3/50(ยกเลิก)</t>
  </si>
  <si>
    <t>2320 2/50(ยกเลิก)</t>
  </si>
  <si>
    <t>2320 1/50(ยกเลิก)</t>
  </si>
  <si>
    <t>2420 1/50(ยกเลิก)</t>
  </si>
  <si>
    <t>รถฟาร์มแทรกเตอร์ ขนาด 85 แรงม้า</t>
  </si>
  <si>
    <t>3220 1/50(ยกเลิก)</t>
  </si>
  <si>
    <t>เครื่องขัดไม้ปาร์เก้</t>
  </si>
  <si>
    <t>3431 2/50(ยกเลิก)</t>
  </si>
  <si>
    <t>เครื่องเชื่อมแบบมือถือ</t>
  </si>
  <si>
    <t>รถบรรทกุ ขยะ ขนาด 1 ตัน ปริมาตรกระบอกสูบไม่ต่ำกว่า 2,400 ซีซี หรือกำลังเครื่องยนต์สูงสุด ไม่ต่ำกว่า 110 กิโลวัตต์ แบบเปิด ข้างเทท้าย</t>
  </si>
  <si>
    <t>3431 1/50(ยกเลิก)</t>
  </si>
  <si>
    <t>เครื่องเชื่อมไฟฟ้าเอนกประสงค์</t>
  </si>
  <si>
    <t>รถบรรทกุ ขยะ ขนาด 6 ตัน 6 ล้อ ปริมาตรกระบอกสูบ ไม่ต่ำกว่า 6,000 ซีซี หรือกำลังเครื่องยนต์สูงสุด ไม่ต่ำกว่า 170 กิโลวัตต์ แบบเปิด ข้างเทท้าย</t>
  </si>
  <si>
    <t>รถบรรทกุ ขยะ ขนาด 6 ตัน 6 ล้อ ปริมาตรกระบอกสูบ ไม่ต่ำกว่า 6,000 ซีซี หรือกำลังเครื่องยนต์สูงสุด ไม่ต่ำกว่า 170 กิโลวัตต์  แบบอัดท้าย</t>
  </si>
  <si>
    <t>3740 1/50(ยกเลิก)</t>
  </si>
  <si>
    <t>ถังฉีดนำยากำจัดปลวกชนิดปั๊มลมด้วยมือ ขนาดบรรจุไม่ตำกว่า 12 ลิตร</t>
  </si>
  <si>
    <t>รถโดยสารขนาด 12 ที่นั่ง (ดีเซล) ปริมาตรกระบอกสูบ ไม่ต่ำกว่า 2,400 ซีซี หรือกำลังเครื่องยนต์สูงสุด ไม่ต่ำกว่า 90 กิโลวัตต์</t>
  </si>
  <si>
    <t>3825 1/50(ยกเลิก)</t>
  </si>
  <si>
    <t>รถพรมน้ำ ขนาดบรรจุ 6,000 ลิตร</t>
  </si>
  <si>
    <t>3930 2/50(ยกเลิก)</t>
  </si>
  <si>
    <t>3930 1/50(ยกเลิก)</t>
  </si>
  <si>
    <t>3930 4/50(ยกเลิก)</t>
  </si>
  <si>
    <t>รถลากขนวัสดุขับเคลื่อนด้วยตัวเองพร้อมกระบะท้าย</t>
  </si>
  <si>
    <t>รถประจำตำแหน่ง ระดับอธิบดี รองปลัดกระทรวง เอกอัครราชทูตประจำกระทรวง ผู้ตรวจราชการระดับกระทรวง รองปลัดกระทรวง
เอกอัครราชทูตประจำกระทรวง รองเลขาธิการนายกรัฐมนตรีฝ่ายการเมือง หรือผู้ด้ารงตำแหน่งอื่นที่มีฐานะเทียบเท่า
ปริมาตรกระบอกสูบไม่เกิน 2,500 ซีซี หรือ กำลังเครื่องยนต์สูงสุดไม่เกิน 160 กิโลวัตต์</t>
  </si>
  <si>
    <t>รถลากขนวัสดุขับเคลื่อนด้วยตัวเองพร้อมกระบะท้าย(ยกเลิก)</t>
  </si>
  <si>
    <t>รถประจำตำแหน่ง ระดับปลัดกระทรวง เลขาธิการนายกรัฐมนตรี หรือผู้ด้ารงตำแหน่งอื่นที่มีฐานะเทียบเท่า
ปริมาตรกระบอกสูบไม่เกิน 2,500 ซีซี หรือ กำลังเครื่องยนต์สูงสุดไม่เกิน 160 กิโลวัตต์</t>
  </si>
  <si>
    <t>รถประจำตำแหน่ง ระดับรัฐมนตรีว่าการกระทรวง รัฐมนตรีประจำส้านักนายกรัฐมนตรี รัฐมนตรีช่วยว่าการกระทรวง รองประธานวุฒิสภา
 รองประธานสภาผู้แทนราษฎร หรือผู้ด้ารงตำแหน่งอื่นที่มีฐานะเทียบเท่า 
ปริมาตรกระบอกสูบไม่เกิน 3,000 ซีซี หรือ กำลังเครื่องยนต์สูงสุดไม่เกิน 180 กิโลวัตต์</t>
  </si>
  <si>
    <t>รถประจำตำแหน่ง ระดับรองนายกรัฐมนตรี รองประธานรัฐสภา ผู้น้าฝ่ายค้านในสภาผู้แทนราษฎร หรือผู้ด้ารงตำแหน่งอื่นที่มีฐานะเทียบเท่า
ปริมาตรกระบอกสูบไม่เกิน 3,000 ซีซี หรือ กำลังเครื่องยนต์สูงสุดไม่เกิน 180 กิโลวัตต์</t>
  </si>
  <si>
    <t>3930 3/50(ยกเลิก)</t>
  </si>
  <si>
    <t>วัสดุชนิดกระดกเทขับเคลื่อนด้วยตัวเอง</t>
  </si>
  <si>
    <t>3960 1/50(ยกเลิก)</t>
  </si>
  <si>
    <t>กระเช้าไฟฟ้าปรับระดับขึ้นที่สูงแนวดิ่ง (VERTICAL  LIFT)</t>
  </si>
  <si>
    <t>4120 1/50(ยกเลิก)</t>
  </si>
  <si>
    <t>เครื่องปรับอากาศแบบเคลื่อนที่ ขนาด 12,000 บีทียู</t>
  </si>
  <si>
    <t>4310 1/50(ยกเลิก)</t>
  </si>
  <si>
    <t>เครื่องถ่ายเทน้ำยาเครื่องปรับอากาศ</t>
  </si>
  <si>
    <t>4630 1/50(ยกเลิก)</t>
  </si>
  <si>
    <t>5120 2/50(ยกเลิก)</t>
  </si>
  <si>
    <t>เครื่องมือรัดหีบห่อพัสดุ</t>
  </si>
  <si>
    <t>5120 1/50(ยกเลิก)</t>
  </si>
  <si>
    <t>5130 1/50(ยกเลิก)</t>
  </si>
  <si>
    <t>เครื่องยิงลวด</t>
  </si>
  <si>
    <t>เลื่อยวงเดือนไฟฟ้า ขนาด 13 นิ้ว</t>
  </si>
  <si>
    <t>6110 1/50(ยกเลิก)</t>
  </si>
  <si>
    <t>เครื่องควบคุมกระแสไฟฟ้าคงที่ (CONSTANT CURRENT REGULATOR) ขนาด  7.5  kVA</t>
  </si>
  <si>
    <t>แผงควบคุมไฟฟ้าแรงสูง ขนาด 630 แอมป์</t>
  </si>
  <si>
    <t>เครื่องเจาะกระดาษและเข้าเล่ม แบบเจาะกระดาษไฟฟา้ และเข้าเล่มมือโยก</t>
  </si>
  <si>
    <t>6115 1/50(ยกเลิก)</t>
  </si>
  <si>
    <t>เครื่องนับธนบัตร แบบตั้งพนื้</t>
  </si>
  <si>
    <t>เครื่องปรับอากาศ แบบแยกส่วน ชนิดตั้งพื้น หรือชนิดแขวน (มีระบบฟอกอากาศ) ขนาด 13,000 บีทียู</t>
  </si>
  <si>
    <t>78 - 79</t>
  </si>
  <si>
    <t>เครื่องปรับอากาศ แบบแยกส่วน ชนิดตั้งพื้น หรือชนิดแขวน (มีระบบฟอกอากาศ) ขนาด 15,000 บีทียู</t>
  </si>
  <si>
    <t>เครื่องปรับอากาศ แบบแยกส่วน ชนิดตั้งพื้น หรือชนิดแขวน (มีระบบฟอกอากาศ) ขนาด 18,000 บีทียู</t>
  </si>
  <si>
    <t>เครื่องปรับอากาศ แบบแยกส่วน ชนิดตั้งพื้น หรือชนิดแขวน (มีระบบฟอกอากาศ) ขนาด 20,000 บีทียู</t>
  </si>
  <si>
    <t>เครื่องปรับอากาศ แบบแยกส่วน ชนิดตั้งพื้น หรือชนิดแขวน (มีระบบฟอกอากาศ) ขนาด 24,000 บีทียู</t>
  </si>
  <si>
    <t>6635 2/50(ยกเลิก)</t>
  </si>
  <si>
    <t>เครื่องปรับอากาศ แบบแยกส่วน ชนิดตั้งพื้น หรือชนิดแขวน (มีระบบฟอกอากาศ) ขนาด 26,000 บีทียู</t>
  </si>
  <si>
    <t>ชุดทดสอบกำลังคอนกรีต ขนาด 2,000 กิโลนิวตัน</t>
  </si>
  <si>
    <t>เครื่องปรับอากาศ แบบแยกส่วน ชนิดตั้งพื้น หรือชนิดแขวน (มีระบบฟอกอากาศ) ขนาด 30,000 บีทียู</t>
  </si>
  <si>
    <t>เครื่องปรับอากาศ แบบแยกส่วน ชนิดตั้งพื้น หรือชนิดแขวน (มีระบบฟอกอากาศ) ขนาด 32,000 บีทียู ู</t>
  </si>
  <si>
    <t>เครื่องปรับอากาศ แบบแยกส่วน ชนิดตั้งพื้น หรือชนิดแขวน (มีระบบฟอกอากาศ) ขนาด 36,000 บีทียู</t>
  </si>
  <si>
    <t>เครื่องปรับอากาศ แบบแยกส่วน ชนิดตั้งพื้น หรือชนิดแขวน (มีระบบฟอกอากาศ) ขนาด 40,000 บีทียู</t>
  </si>
  <si>
    <t>เครื่องปรับอากาศ แบบแยกส่วน ชนิดตั้งพื้น หรือชนิดแขวน (มีระบบฟอกอากาศ) ขนาด 44,000 บีทียู</t>
  </si>
  <si>
    <t>เครื่องปรับอากาศ แบบแยกส่วน ชนิดตั้งพื้น หรือชนิดแขวน (มีระบบฟอกอากาศ) ขนาด 48,000 บีทียู</t>
  </si>
  <si>
    <t>6635 1/50(ยกเลิก)</t>
  </si>
  <si>
    <t>ชุดทดสอบกำลังคอนกรีต ขนาด สองพัน กิโลนิวตัน ( ยกเลิกแล้ว )</t>
  </si>
  <si>
    <t>เครื่องปรับอากาศ แบบแยกส่วน ชนิดตั้งพื้น หรือชนิดแขวน (มีระบบฟอกอากาศ) ขนาด 50,000 บีทียู</t>
  </si>
  <si>
    <t>ขนาดสงู กวา่  60,000 บที ยี ู</t>
  </si>
  <si>
    <t>เครื่องปรับอากาศ แบบแยกส่วน ชนิดติดผนัง (มีระบบฟอกอากาศ) ขนาด 12,000 บีทียุ</t>
  </si>
  <si>
    <t>เครื่องปรับอากาศ แบบแยกส่วน ชนิดติดผนัง (มีระบบฟอกอากาศ) ขนาด 15,000 บีทียุ</t>
  </si>
  <si>
    <t>เครื่องปรับอากาศ แบบแยกส่วน ชนิดติดผนัง (มีระบบฟอกอากาศ) ขนาด 18,000 บีทียุ</t>
  </si>
  <si>
    <t>ชุดทดสอบวัดค่าพื้นฐานทางฟิสิกส์และวิศวกรรม</t>
  </si>
  <si>
    <t>เครื่องปรับอากาศ แบบแยกส่วน ชนิดติดผนัง (มีระบบฟอกอากาศ) ขนาด 24,000 บีทียุ</t>
  </si>
  <si>
    <t>ขนาดสงู กวา่  26,000 บที ยี ู</t>
  </si>
  <si>
    <t>เครื่องปรับอากาศ แบบแยกส่วน ชนิดตู้ตั้งพื้นขนาด 44,000 บีทียู (ไม่มีระบบฟอกอากาศ)</t>
  </si>
  <si>
    <t>เครื่องปรับอากาศ แบบแยกส่วน ชนิดตู้ตั้งพื้นขนาด 56,000 บีทียู (ไม่มีระบบฟอกอากาศ)</t>
  </si>
  <si>
    <t>6675 1/50(ยกเลิก)</t>
  </si>
  <si>
    <t>6680 1/50(ยกเลิก)</t>
  </si>
  <si>
    <t>เครื่องตรวจรอยรั่วน้ำยาเครื่องปรับอากาศ</t>
  </si>
  <si>
    <t>สถิติประชุม พิจารณาคำแนะนำ</t>
  </si>
  <si>
    <t>6685 1/50(ยกเลิก)</t>
  </si>
  <si>
    <t>เครื่องมือวัดและบันทึกอุณหภูมิ ความเร็วลม ความดันบรรยากาศ ความเร็วรอบ (MULTIFUNCTIONMEASUR</t>
  </si>
  <si>
    <t>4210 1/51(ยกเลิก)</t>
  </si>
  <si>
    <t xml:space="preserve">สายดับเพลิงพร้อมข้อต่อ ความยาวไม่น้อยกว่า 20 เมตร </t>
  </si>
  <si>
    <t>เครื่องสแกนลายนิ้ว มือชนิดบันทึกเวลาเข้าออกงาน</t>
  </si>
  <si>
    <t>4210 2/51(ยกเลิก)</t>
  </si>
  <si>
    <t xml:space="preserve">สายดับเพลิงพร้อมข้อต่อ ความยาวไม่น้อยกว่า 30 เมตร </t>
  </si>
  <si>
    <t>82 - 83</t>
  </si>
  <si>
    <t>83 - 84</t>
  </si>
  <si>
    <t>84 - 85</t>
  </si>
  <si>
    <t>86 - 87</t>
  </si>
  <si>
    <t>2320 3/51(ยกเลิก)</t>
  </si>
  <si>
    <t>2320 4/51(ยกเลิก)</t>
  </si>
  <si>
    <t>รถดูดสิ่งปฎิกูล  ขนาดบรรจุ  6,000  ลิตร</t>
  </si>
  <si>
    <t>2320 2/51(ยกเลิก)</t>
  </si>
  <si>
    <t>2320 1/51(ยกเลิก)</t>
  </si>
  <si>
    <t>รถปั้นจั่นเคลื่อนย้ายพัสดุ</t>
  </si>
  <si>
    <t>2420 1/51(ยกเลิก)</t>
  </si>
  <si>
    <t>รถฟาร์มแทรกเตอร์  ขนาดไม่ตำกว่า  85  แรงม้า</t>
  </si>
  <si>
    <t>2590 1/51(ยกเลิก)</t>
  </si>
  <si>
    <t>ชุดใบมีดปรับพื้นที่ใช้กับรถฟาร์มแทรกเตอร์</t>
  </si>
  <si>
    <t>ร.ต. อนาวิล นิวาศานนท์</t>
  </si>
  <si>
    <t>3431 3/51(ยกเลิก)</t>
  </si>
  <si>
    <t>น.ต. วสันต์ เชวงเศรษฐกุล</t>
  </si>
  <si>
    <t>3431 2/51(ยกเลิก)</t>
  </si>
  <si>
    <t>เครื่องเชื่อมไฟฟ้า  ขนาด  300 แอมแปร์</t>
  </si>
  <si>
    <t>น.ต.อานนท์ ตันติวรวัฒนา</t>
  </si>
  <si>
    <t>3431 1/51(ยกเลิก)</t>
  </si>
  <si>
    <t>เครื่องเชื่อมไฟฟ้าแหล่งจ่าย</t>
  </si>
  <si>
    <t>ร.ท.นพดล ภู่ทอง</t>
  </si>
  <si>
    <t>3805 1/51(ยกเลิก)</t>
  </si>
  <si>
    <t>รถขุดตีนตะขาบ  ขนาดไม่น้อยกว่า  20  กิโลวัตต์</t>
  </si>
  <si>
    <t>3820 1/51(ยกเลิก)</t>
  </si>
  <si>
    <t>ร.ต.คมหาญ นุ่มอุปถัมภ์</t>
  </si>
  <si>
    <t>เครื่องเจาะเก็บตัวอย่างคอนกรีต</t>
  </si>
  <si>
    <t>ร.ต.พิสุทธิ์วัธ เมธาวีน</t>
  </si>
  <si>
    <t>3825 1/51(ยกเลิก)</t>
  </si>
  <si>
    <t>เครื่องพ่นสีจราจรเทอร์โมพลาสติค</t>
  </si>
  <si>
    <t>3930 1/51(ยกเลิก)</t>
  </si>
  <si>
    <t>3930 2/51(ยกเลิก)</t>
  </si>
  <si>
    <t>3940 1/51(ยกเลิก)</t>
  </si>
  <si>
    <t>3960 1/51(ยกเลิก)</t>
  </si>
  <si>
    <t>กระเช้าเลื่อนไฟฟ้าปรับระดับขึ้นที่สูงแนวดิ่ง (VERTICAL LIFT)</t>
  </si>
  <si>
    <t>4120 1/51(ยกเลิก)</t>
  </si>
  <si>
    <t>เครื่องปรับอากาศแบบแยกส่วนชนิดตู้ตั้งพื้นขนาดทำความเย็นได้ไม่น้อยกว่า 120000  BTU.Hr</t>
  </si>
  <si>
    <t>4210 3/51(ยกเลิก)</t>
  </si>
  <si>
    <t>น้ำยาดับเพลิงโฟม  ชนิดทนแอลกอฮอล์</t>
  </si>
  <si>
    <t>4210 4/51(ยกเลิก)</t>
  </si>
  <si>
    <t>สายดับเพลิงพร้อมข้อต่อ ความยาวไม่น้อยกว่า 20 เมตร</t>
  </si>
  <si>
    <t>สายดับเพลิงพร้อมข้อต่อ ความยาวไม่น้อยกว่า30 เมตร</t>
  </si>
  <si>
    <t>4310 3/51(ยกเลิก)</t>
  </si>
  <si>
    <t>4310 2/51(ยกเลิก)</t>
  </si>
  <si>
    <t>เครื่องปั้มลม ขนาด 1 แรงม้า</t>
  </si>
  <si>
    <t>4310 1/51(ยกเลิก)</t>
  </si>
  <si>
    <t>เครื่องปั้มลมขนาด 2 แรงม้า</t>
  </si>
  <si>
    <t>4320 6/51(ยกเลิก)</t>
  </si>
  <si>
    <t>เครื่องสูบน้ำแบบ  หอยโข่ง  ขนาด  40  แรงม้า  (30  กิโลวัตต์)</t>
  </si>
  <si>
    <t>4320 4/51(ยกเลิก)</t>
  </si>
  <si>
    <t>เครื่องสูบน้ำแบบ  TURBINE  PUMP  ขนาด  150 แรงม้า (112 กิโลวัตต์)</t>
  </si>
  <si>
    <t>4320 5/51(ยกเลิก)</t>
  </si>
  <si>
    <t>เครื่องสูบน้ำแบบ  TURBINE  PUMP  ขนาด  75  แรงม้า  (56 กิโลวัตต์)</t>
  </si>
  <si>
    <t>4320 7/51(ยกเลิก)</t>
  </si>
  <si>
    <t>เครื่องสูบน้ำแบบ VERTICAL MULTISTAGE CENTRIFUGAL  ขนาด 30 กิโลวัตต์</t>
  </si>
  <si>
    <t>4320 1/51(ยกเลิก)</t>
  </si>
  <si>
    <t>เครื่องสูบน้ำเสียแบบ  SUBMERIBLE  SEWAGE  PUMP  ขนาด  6  กิโลวัตต์</t>
  </si>
  <si>
    <t>4320 2/51(ยกเลิก)</t>
  </si>
  <si>
    <t>เครื่องสูบน้ำเสียแบบ  SUBMERSIBLE  SEWAGE  PUMP  ขนาด  9  กิโลวัตต์</t>
  </si>
  <si>
    <t>4320 8/51(ยกเลิก)</t>
  </si>
  <si>
    <t>ปั้มสูบน้ำมันด้วยไฟฟ้า</t>
  </si>
  <si>
    <t>4630 1/51(ยกเลิก)</t>
  </si>
  <si>
    <t>เครื่องฉีดน้ำแรงดันสูงขนาด 120 บาร์</t>
  </si>
  <si>
    <t>4630 2/51(ยกเลิก)</t>
  </si>
  <si>
    <t>เครื่องผลิตโอโซนสำหรับระบบบำบัดน้ำเสีย</t>
  </si>
  <si>
    <t>5130 1/51(ยกเลิก)</t>
  </si>
  <si>
    <t>สว่านไฟฟ้าชนิดเจาะคอนกรีตขนาด 1-2 นิ้ว</t>
  </si>
  <si>
    <t>6110 2/51(ยกเลิก)</t>
  </si>
  <si>
    <t>เครื่องทดสอบความเป็ยฉนวนของน้ำมันหม้อแปลง</t>
  </si>
  <si>
    <t>6110 3/51(ยกเลิก)</t>
  </si>
  <si>
    <t>แผงควบคุมไฟฟ้าแรงสูง ขนาด  630 A 33 kV</t>
  </si>
  <si>
    <t>6110 1/51(ยกเลิก)</t>
  </si>
  <si>
    <t>SLIDE  REGULATOR  10  kVA</t>
  </si>
  <si>
    <t>6115 1/51(ยกเลิก)</t>
  </si>
  <si>
    <t>เครื่องกำเนิดไฟฟ้า  ขนาด  15  กิโลวัตต์ (110-220 VAC. 1 Ph.3 Wire 50 Hz.)</t>
  </si>
  <si>
    <t>6130 1/51(ยกเลิก)</t>
  </si>
  <si>
    <t>เครื่องประจุไฟฟ้าแบตเตอรี่ ขนาด 24 V. 100 A</t>
  </si>
  <si>
    <t>6150 1/51(ยกเลิก)</t>
  </si>
  <si>
    <t>สวิตช์ปลด-สับ กระแสไฟฟ้า</t>
  </si>
  <si>
    <t>6310 2/51(ยกเลิก)</t>
  </si>
  <si>
    <t>เครื่องกั้นถนนป้องกันรถฝ่า</t>
  </si>
  <si>
    <t>6310 1/51(ยกเลิก)</t>
  </si>
  <si>
    <t>เครื่องป้องกันรถฝ่า</t>
  </si>
  <si>
    <t>6630 2/51(ยกเลิก)</t>
  </si>
  <si>
    <t>6630 1/51(ยกเลิก)</t>
  </si>
  <si>
    <t>เครื่องวิเคราะห์ค่า  COD  และ  BOD5  ของน้ำแบบต่อเนื่อง</t>
  </si>
  <si>
    <t>6630 3/51(ยกเลิก)</t>
  </si>
  <si>
    <t>เครื่องวิเคราะห์ค่า  pH, ORP,  DO  และค่าความนำไฟฟ้าของน้ำแบบต่อเนื่อง</t>
  </si>
  <si>
    <t>6635 1/51(ยกเลิก)</t>
  </si>
  <si>
    <t>เครื่องทดสอบแรงดึงของเหล็กขนาด 100 ตัน</t>
  </si>
  <si>
    <t>6635 5/51(ยกเลิก)</t>
  </si>
  <si>
    <t>ชุดทดลองกฎของบอยส์</t>
  </si>
  <si>
    <t>6635 4/51(ยกเลิก)</t>
  </si>
  <si>
    <t>ชุดทดลองกลศาสตร์เบื้องต้น</t>
  </si>
  <si>
    <t>6635 2/51(ยกเลิก)</t>
  </si>
  <si>
    <t>ชุดทดลองการแผ่รังสีความร้อน</t>
  </si>
  <si>
    <t>6635 3/51(ยกเลิก)</t>
  </si>
  <si>
    <t>ชุดทดลองจลศาสตร์และกลศาสตร์</t>
  </si>
  <si>
    <t>6680 1/51(ยกเลิก)</t>
  </si>
  <si>
    <t>6685 1/51(ยกเลิก)</t>
  </si>
  <si>
    <t>ชุดทดลองวัดสภาพนำความร้อนของวัตถุ</t>
  </si>
  <si>
    <t>เครื่องแปลงความถี่ไฟฟ้า  ขนาด  5 kva  50-60 hz</t>
  </si>
  <si>
    <t>ปัญหา</t>
  </si>
  <si>
    <t>เครื่องแปลงความถี่ไฟฟ้า  ขนาด  60 kva  50-400 hz</t>
  </si>
  <si>
    <t xml:space="preserve"> - ความต่างระหว่าง Spec เงื่อนไข และ สิ่งที่ผู้รับจ้างต้องปฏิบัติ</t>
  </si>
  <si>
    <t xml:space="preserve"> - 04-10 ปัญหาเดิม คือ ทางกองฯที่มานำเสนอไม่พูดคุยกันมาก่อน เช่น กดก. ทำให้มีข้อโต้แย้งกันเองให้ที่ประชุม</t>
  </si>
  <si>
    <t>ตัวเรื่อง ขอนุมัติ 6310-2-51, และขอยกเลิก 6310-1-51</t>
  </si>
  <si>
    <t xml:space="preserve"> - 04-10 กองต่างๆ มักรอเวลาให้ใกล้ๆ เพื่อให้ Spec ผ่าน โดยกดดันกรรมการ</t>
  </si>
  <si>
    <t>ตัวเรื่อง ขอยกเลิกคุณลักษณะเฉพาะพัสดุช่างโยธา 2320-8-42,3930-3-50,3930-4-50</t>
  </si>
  <si>
    <t>ตัวเรื่อง ขอยกเลิกคุณลักษณะเฉพาะพัสดุช่างโยธา 3930-1-48,4210-9-1-38</t>
  </si>
  <si>
    <t>ตัวเรื่อง ขอยกเลิกคุณลักษณะเฉพาะพัสดุช่างโยธา   4210-1-46</t>
  </si>
  <si>
    <t>ตัวเรื่อง  ขออนุมัติ 3940-1-151, 3960-1-51</t>
  </si>
  <si>
    <t>ตัวเรื่อง ขออนุมัติ 6125-1-51,6125-2-51</t>
  </si>
  <si>
    <t>ตัวเรื่อง ขออนุมัติ 6310-1-51, 4210-4-51, 2420-1-51 และขอยกเลิก 4210-1-49, 2420-1-44</t>
  </si>
  <si>
    <t>2420 1/52 (ยกเลิก)</t>
  </si>
  <si>
    <t>รถฟาร์มแทรกเตอร์ ขนาดไม่ต่ำกว่า 85 แรงม้า</t>
  </si>
  <si>
    <t>3750 1/52(ยกเลิก)</t>
  </si>
  <si>
    <t>ชุดเครื่องพ่วงตัดหญ้าปั่นหมุน (ROTARY)</t>
  </si>
  <si>
    <t>4210 7/52 (ยกเลิก)</t>
  </si>
  <si>
    <t>เครื่องยิงน้ำดับเพลิงแรงดันสูง</t>
  </si>
  <si>
    <t>4210 4/52(ยกเลิก)</t>
  </si>
  <si>
    <t>4460 2/52(ยกเลิก)</t>
  </si>
  <si>
    <t>เครื่องฉีดพ่นละอองสารเเบบหิ้วได้</t>
  </si>
  <si>
    <t>6675 1/52(ยกเลิก)</t>
  </si>
  <si>
    <t xml:space="preserve">เครื่องมือออกเเบบเเละเขียนเเบบ </t>
  </si>
  <si>
    <t>4510 2/52(ยกเลิก)</t>
  </si>
  <si>
    <t>ชุดล้างหน้าเเบบเคลื่อนย้าย (ยกเลิก)</t>
  </si>
  <si>
    <t>4510 1/52(ยกเลิก)</t>
  </si>
  <si>
    <t>ที่อาบน้ำฝักบัวเเบบถอดประกอบได้พร้อมอุปกรณ์ (ยกเลิก)</t>
  </si>
  <si>
    <t>5610 1/52(ยกเลิก)</t>
  </si>
  <si>
    <t>ลูกรัง (GRADE A,B,C และ D)(ยกเลิก) ** ตรวจสอบว่าเป็นหมวดของ กวก.หรือไม่ และยะยกเลิกหรือไม่**</t>
  </si>
  <si>
    <t>5610 2/52(ยกเลิก)</t>
  </si>
  <si>
    <t>หินคลุก(ยกเลิก) ** ตรวจสอบว่าเป็นหมวดของ กวก.หรือไม่ และยะยกเลิกหรือไม่**</t>
  </si>
  <si>
    <t>5610 3/52(ยกเลิก)</t>
  </si>
  <si>
    <t>หินมวลหยาบ (หิน 3-8 ,หิน1-2 และ หิน3-4)(ยกเลิก) ** ตรวจสอบว่าเป็นหมวดของ กวก.หรือไม่ และยะยกเลิกหรือไม่**</t>
  </si>
  <si>
    <t>6110 1/52(ยกเลิก)</t>
  </si>
  <si>
    <t>เครื่องจ่ายไฟฟ้าแบบต่อเนื่อง ขนาด ไม่น้อยกว่า 120 kVA. 3 Ph. 4 W. 50 HZ(ยกเลิก)</t>
  </si>
  <si>
    <t>6115 1/52(ยกเลิก)</t>
  </si>
  <si>
    <t>เครื่องกำเนิดไฟฟ้า ขนาด 5 กิโลวัตต์  (220 VAC. 1 Ph. 2 Wire 50 Hz.)(ยกเลิก)</t>
  </si>
  <si>
    <t>6635 1/52(ยกเลิก)</t>
  </si>
  <si>
    <t>เครื่องทดสอบแรงเฉือนของดินในห้องปฎิบัติการ (DIRECT SHEAR) (ยกเลิก)</t>
  </si>
  <si>
    <t>6675 2/52(ยกเลิก)</t>
  </si>
  <si>
    <t>เครื่องพิมพ์สีแผ่นไวนิล(ยกเลิก)</t>
  </si>
  <si>
    <t>6810 1/52(ยกเลิก)</t>
  </si>
  <si>
    <t>น้ำยาดับเพลิงโฟม  ชนิดทนแอลกอฮอล์(ยกเลิก)</t>
  </si>
  <si>
    <t>8415 2/52(ยกเลิก)</t>
  </si>
  <si>
    <t>ชุดดับเพลิงอากาศยาน(ยกเลิก)</t>
  </si>
  <si>
    <t>8415 1/52(ยกเลิก)</t>
  </si>
  <si>
    <t>ชุดดับเพลิงอาคาร(ยกเลิก)</t>
  </si>
  <si>
    <t>25-10-61 ใช้ปี 61
MAN-STYER- ISUZU- ISUZU-</t>
  </si>
  <si>
    <t>25-10-61 ใช้ปี 61 ทดแทน</t>
  </si>
  <si>
    <t>25-10-61 ล้าสมัย</t>
  </si>
  <si>
    <t>25-10-16 ใช้ปี 61</t>
  </si>
  <si>
    <t>3825 3/53(ยกเลิก)</t>
  </si>
  <si>
    <t xml:space="preserve">รถกวาดดูดฝุ่น </t>
  </si>
  <si>
    <t>3825 3/53</t>
  </si>
  <si>
    <t>4120-2-53 (ยกเลิก)</t>
  </si>
  <si>
    <t>เครื่องปรับอากาศแบบแยกชิ้นส่วนชนิดตั้งพื้นหรือชนิดเเขวน  ขนาด 13,000 บีทียู (BTU)</t>
  </si>
  <si>
    <t>4120-4-53  (ยกเลิก)</t>
  </si>
  <si>
    <t>เครื่องปรับอากาศเเบบแยกชิ้นส่วนชนิดตั้งพื้นหรือชนิดเเขวน ขนาด 24,000 บีทียู (BTU)</t>
  </si>
  <si>
    <t>4120-6-53  (ยกเลิก)</t>
  </si>
  <si>
    <t>เครื่องปรับอากาศเเบบแยกชิ้นส่วนชนิดตั้งพื้นหรือชนิดเเขวน ขนาด 36,000 บีทียู (BTU)</t>
  </si>
  <si>
    <t>5610 1/53(ยกเลิก)</t>
  </si>
  <si>
    <t>ทรายผสมคอนกรีต(ยกเลิก) ** ตรวจสอบว่าเป็นหมวดของ กวก.หรือไม่ และยะยกเลิกหรือไม่**</t>
  </si>
  <si>
    <t>5610 2/53(ยกเลิก)</t>
  </si>
  <si>
    <t>หินผสมคอนกรีต(ยกเลิก) ** ตรวจสอบว่าเป็นหมวดของ กวก.หรือไม่ และยะยกเลิกหรือไม่**</t>
  </si>
  <si>
    <t>5610 3/53(ยกเลิก)</t>
  </si>
  <si>
    <t>หินมวลหยาบ (หิน 3ส่วน8 , หิน1ส่วน2 และ หิน3ส่วน4)(ยกเลิก)** ตรวจสอบว่าเป็นหมวดของ กวก.หรือไม่ และยะยกเลิกหรือไม่**</t>
  </si>
  <si>
    <t>6150 1/53(ยกเลิก)</t>
  </si>
  <si>
    <t>.</t>
  </si>
  <si>
    <t>6625 1/53(ยกเลิก)</t>
  </si>
  <si>
    <t>เครื่องวัดเเละวิเคราะห์คุณภาพไฟฟ้า(ยกเลิก)</t>
  </si>
  <si>
    <t>25-10-61 ยกเลิกปี 53 และ 58 ใช้ปี 59 (มีของใหม่ทดแทน)</t>
  </si>
  <si>
    <t>25-10-61 ยกเลิกเนื่องจากต้องการปรับปรุงคุณลักษณะเพิ่มเติม</t>
  </si>
  <si>
    <t>25-10-61 ยกเลิกปี 53  ใช้ปี 60 (มีของใหม่ทดแทน)</t>
  </si>
  <si>
    <t>3431 2/54 (ยกเลิก)</t>
  </si>
  <si>
    <t xml:space="preserve">เครื่องเชื่อมไฟฟ้า </t>
  </si>
  <si>
    <t>3930 1/54(ยกเลิก)</t>
  </si>
  <si>
    <t>4210 1/54(ยกเลิก)</t>
  </si>
  <si>
    <t>สายดับเพลิงแบบสายยางพร้อมข้อต่อ ขนาดเส้นผ่านศูนย์กลาง 1 1-2 นิ้ว</t>
  </si>
  <si>
    <t>หัวฉีดดับเพลิงชนิดปรับได้ ขนาด 1 1-2 นิ้ว</t>
  </si>
  <si>
    <t>เครื่องสูบน้ำแบบจุ่ม ขนาด 10 ลูกบาศก์เมตรต่อชั่วโมง</t>
  </si>
  <si>
    <t>เครื่องขัดเเละตัดโลหะ ชนิดมือถือ ขนาด 7 นิ้ว</t>
  </si>
  <si>
    <t>5130 1/54(ยกเลิก)</t>
  </si>
  <si>
    <t>เครื่องเจาะสกัดคอนกรีต(ยกเลิก)</t>
  </si>
  <si>
    <t>MITSUBISHI-NISSAN- HYSTER- HYSTER-
25-10-61 ใช้ปี 60 ทดแทน</t>
  </si>
  <si>
    <t>25-10-61 ล้าสมัย ไม่ใช้แล้ว</t>
  </si>
  <si>
    <t>25-10-61 ใช้ 5/54 ทดแทน</t>
  </si>
  <si>
    <t>(อัตราการฉีดแบบลำตรง ไม่น้อยกว่า 120 แกลลอนต่อนาที)
25-10-61 ใช้ 6/54 ทดแทน</t>
  </si>
  <si>
    <t>มีสเปคที่ใหม่กว่า คือ 4460 1/61
25-10-61 ใช้ปี 61 ทดแทน</t>
  </si>
  <si>
    <t>6110 1/55(ยกเลิก)</t>
  </si>
  <si>
    <t>เครื่องวัดความต้านทานฉนวนไฟฟ้า(ยกเลิก)</t>
  </si>
  <si>
    <t>6840 1/55(ยกเลิก)</t>
  </si>
  <si>
    <t>เคมีกำจัดแมลงทำลายไม้ (ชนิดเหลว) (ยกเลิก)</t>
  </si>
  <si>
    <t>3820-35-681-1726</t>
  </si>
  <si>
    <t>25-10-61 ยกเลิกปี 55  ใช้ปี 61 (มีของใหม่ทดแทน)</t>
  </si>
  <si>
    <t>25-10-61 ยกเลิกเนื่องจากล้าสมัย</t>
  </si>
  <si>
    <t>วัสดุสิ้นเปลือง
25-10-61 ใช้ปี 58 ทดแทน</t>
  </si>
  <si>
    <t>4210 2/57(ยกเลิก)</t>
  </si>
  <si>
    <t>ระบบควบคุมและสั่งการด้านไฟฟ้า</t>
  </si>
  <si>
    <t>6675 3/57(ยกเลิก)</t>
  </si>
  <si>
    <t>เครื่องพิมพ์สีแผ่นไวนิล (ยกเลิก)</t>
  </si>
  <si>
    <t>- 04-10 มี Spec.ใหมในปี 4/60 แล้ว
25-10-61 ใช้ปี 60</t>
  </si>
  <si>
    <t>STYER-- - -
25-10-61 ใช้ปี 59 ทดแทน</t>
  </si>
  <si>
    <t>25-10-61 กำลังปรับปรุงคุณลักษณะ ไปใช้ปี 62</t>
  </si>
  <si>
    <t>กสน.</t>
  </si>
  <si>
    <t>25-10-61 ยกเลิกปี58 ใช้ปี 59 (มีของใหม่ทดแทน)</t>
  </si>
  <si>
    <t>25-10-61 ใช้ปี 59 ทดแทน</t>
  </si>
  <si>
    <t xml:space="preserve">25-10-61 ใช้ 4120 8/58 </t>
  </si>
  <si>
    <t>25-10-61 ใช้ 4120 4/58</t>
  </si>
  <si>
    <t>- 04-10 รอพิจารณาเพื่อยกเลิก Spec เมื่อ Spec ใหม่ของปี 3/60 ผ่าน
25-10-61 ใช้ปี 60 ทดแทน</t>
  </si>
  <si>
    <t>25-10-61 ล้าสมัย หมดความจำเป็น</t>
  </si>
  <si>
    <t>sunjet 1801w-mutoh vj-1624-834600 epson sc-s30670-849580 epson sc-s30670-849580
25-10-61 ใช้ปี 60 ทดแทน</t>
  </si>
  <si>
    <t>รถบรรทุกดีเซล ขนาด 6 ตัน 6 ล้อ ปริมาตรกระบอกสูบไม่ต่ำกว่า 6,000 ซีซี</t>
  </si>
  <si>
    <t xml:space="preserve">25-10-61 ยกเลิกรายการเฉพาะกิจ ไปใช้ปี 58 </t>
  </si>
  <si>
    <t>22-10 รายการนี้ จก.ให้ยกเลิก สั่งในที่ประชุม งบประมาณ เนื่องจากเป็นอะไหล่ ไม่ใช่ครุภัณฑ์ แจ้งยืนยันข้อมูลโดย กสน.
25-10-61 หมดความจำเป็น</t>
  </si>
  <si>
    <t>25-10-61 ใช้ 1/60 ทดแทน</t>
  </si>
  <si>
    <t>6310    /60</t>
  </si>
  <si>
    <t>ข้อมูลไม่พร้อม รายการนี้ บิทิลี่ คืิชื่อยี่ห้อง ไม่น่าทำเสปคได้
25-10-61 ยกเลิกเนื่องจากยังไม่มีข้อมูล - ตัดรายการนี้ทิ้งเลย</t>
  </si>
  <si>
    <t>7230 3/61</t>
  </si>
  <si>
    <t>ผ้าม่านทึบแสง</t>
  </si>
  <si>
    <t>7230 2/61</t>
  </si>
  <si>
    <t>ผ้าม่านทึบแสงรางโค้ง</t>
  </si>
  <si>
    <t>7230 1/61</t>
  </si>
  <si>
    <t>ม่านปรับแสงแนวตั้ง</t>
  </si>
  <si>
    <t>31/5/61 นอ.วรบุตร แจ้งขอให้นำเรื่องเข้าห้องประชุมสเปคด้วย    ***สเปคลิฟท์ตัวนี้ กวก.รับผิดชอบ จะนำไปใช้ที่อาคารพักอาศัย ข้าราชการ ทอ.***</t>
  </si>
  <si>
    <t>4540 1/2/38(ยกเลิก)</t>
  </si>
  <si>
    <t>เตาเผาขยะขนาด  1  ตัน</t>
  </si>
  <si>
    <t>ขออนุมัติยกเลิกคุณลักษณะพัสดุสายช่างโยธา เมื่อ 31 ต.ค. 61</t>
  </si>
  <si>
    <t>รถบรรทุก แบบกระบะเทท้าย  -  รอการขอยกเลิกคุณลักษณะ</t>
  </si>
  <si>
    <t>04-02-62 รายการนี้ซ้ำกับ 2320 4/58 ยกเลิกที่รายการนี้  ยืนยันยกเลิก</t>
  </si>
  <si>
    <t>รถบริการงานช่างโยธาเคลื่อนที่  -  (รอการขอยกเลิกคุณลักษณะ)</t>
  </si>
  <si>
    <t>13-11-18 เนื่องจากมี Spec.ใหม่ 2320 1/62  ยืนยันยกเลิก</t>
  </si>
  <si>
    <t>LOCATELLY-GROVE- - -</t>
  </si>
  <si>
    <t>12-02-2019 ยืนยันยกเลิก
04-02-62 ตรวจสอบและแจ้ง หน่วยนับ กับ ราคา  ให้ครบถ้วน</t>
  </si>
  <si>
    <t>รถตักหน้าขุดหลัง ขนาดไม่ต่ำกว่า 75 แรงม้า ( ** )</t>
  </si>
  <si>
    <t>12-02-2019 ยืนยันยกเลิก
04-02-62 สเปคนี้ ยังมีคำว่า บนอ.อยู่ จะเปลี่ยนเลยหรือไ่ม่ สเปคนี้ 10 ปีแล้ว อาจหาไม่ได้ กสน.พิจารณาว่าจะยกเลิกหรือไม่</t>
  </si>
  <si>
    <t>รถยกระบบไฟฟ้า แบบยืนขับ ขนาด 1,500 กิโลกรัม  -  รอการขอยกเลิกคุณลักษณะ</t>
  </si>
  <si>
    <t>12-02-2019 ยืนยันยกเลิก
04-02-62 รายการนี้ยกได้ 4 เทตร สรุปรายการนี้ขอยกเลิก</t>
  </si>
  <si>
    <t>12-02-2019 
04-02-62 งานลิฟท์ กับ บันไดเลื่อน เอาออกจากระบบสเปค เนื่องจาก แปรผันไปตามการก่อสร้างหน้างาน</t>
  </si>
  <si>
    <t>เครื่องปรับอากาศแบบแยกส่วนชนิดตั้งพื้นหรือชนิดแขวน (มีระบบฟอกอากาศ) ขนาด 44,000 บีทียู</t>
  </si>
  <si>
    <t>เครื่องปรับอากาศแบบแยกส่วนชนิดตั้งพื้นหรือชนิดแขวน (มีระบบฟอกอากาศ) ขนาด 48,000 บีทียู</t>
  </si>
  <si>
    <t>เครื่องปรับอากาศแบบแยกส่วนชนิดตั้งพื้นหรือชนิดแขวน (มีระบบฟอกอากาศ) ขนาด 50,000 บีทียู</t>
  </si>
  <si>
    <t>ชุดควบคุมและสั่งการสำหรับปฏิบัติการดับเพลิงและกู้ภัย  -  (รอการขอยกเลิกคุณลักษณะ)</t>
  </si>
  <si>
    <t>12/2/2019 
13-11-18 เนื่องจากมี Spec.ใหม่ 4120 1/62</t>
  </si>
  <si>
    <t>12/2/2019
25-10-61 ที่ประชุมให้จัดทำสเปคเฉพาะกิจ เมื่อซื้อเสร็จให้ยกเลิกทันที</t>
  </si>
  <si>
    <t>ระบบควบคุมและสั่งการด้านการดับเพลิงและกู้ภัย  -  (รอการขอยกเลิกคุณลักษณะ)</t>
  </si>
  <si>
    <t>สายดับเพลิงแบบใยสังเคราะห์ พร้อมข้อต่อ ขนาดเส้นผ่าศูนย์กลาง 1 1/2 นิ้ว  -  (รอการขอยกเลิกคุณลักษณะ)</t>
  </si>
  <si>
    <t>12/2/2019
****ใช้สเปคใหม่ 4210 6/62</t>
  </si>
  <si>
    <t>สายดับเพลิงแบบใยสังเคราะห์ พร้อมข้อต่อ ขนาดเส้นผ่าศูนย์กลาง 2 1/2 นิ้ว  -  (รอการขอยกเลิกคุณลักษณะ)</t>
  </si>
  <si>
    <t>12/2/2019
****ใช้สเปคใหม่ 4210 7/62</t>
  </si>
  <si>
    <t>ซ้ำกับปี 57</t>
  </si>
  <si>
    <t>รถดูดสิ่งโสโครก ขนาด 5 ลูกบาศก์เมตร  -  เปลี่ยนเป็นหมวดรถ 2320</t>
  </si>
  <si>
    <t>12-02-2019 ยืนยันยกเลิกเพื่อเปลี่ยนเป็น 2320
04-02-62 รายการยนี้ต้องเปลี่ยนเป็นหมวดรถ คือ 2320 ให้ จก.ลงนามใหม่</t>
  </si>
  <si>
    <t xml:space="preserve">12-02-2019 
04-02-62 ไปใช้ของ กอค. 5130 1/58 ที่ราคา 6,300 ยาท
</t>
  </si>
  <si>
    <t>12-02-2019 
รอยกเลิกหลังซื้อ</t>
  </si>
  <si>
    <t>โคมฉายแอลอีดี ขนาดไม่เกิน 190 วัตต์  -  รอการขอยกเลิกคุณลักษณะ</t>
  </si>
  <si>
    <t>12-02-2019 
07-02 ผอ.ให้ยกเลิกเพราะล้าสมัยแล้ว จรวจสอบข้อมูลกับ ผวร.ก่อนว่าใช้กำหนดในรายการก่อสร้างรึเปล่า</t>
  </si>
  <si>
    <t>โคมฉายแอลอีดี ขนาดไม่เกิน 300 วัตต์  -  รอการขอยกเลิกคุณลักษณะ</t>
  </si>
  <si>
    <t>โคมฉายแอลอีดี ขนาดไม่เกิน 80 วัตต์  -  รอการขอยกเลิกคุณลักษณะ</t>
  </si>
  <si>
    <t>โคมไฟถนนแอลอีดี ขนาดไม่เกิน 120 วัตต์  -  รอการขอยกเลิกคุณลักษณะ</t>
  </si>
  <si>
    <t>โคมไฟถนนแอลอีดี ขนาดไม่เกิน 55 วัตต์  -  รอการขอยกเลิกคุณลักษณะ</t>
  </si>
  <si>
    <t>โคมไฟอุโมงค์แอลอีดี ขนาดไม่เกิน 120 วัตต์  -  รอการขอยกเลิกคุณลักษณะ</t>
  </si>
  <si>
    <t>โคมไฟไฮเบย์แอลอีดี ขนาดไม่เกิน 110 วัตต์  -  รอการขอยกเลิกคุณลักษณะ</t>
  </si>
  <si>
    <t>พัสดุหมวด 24 รถแทรกเตอร์ จำนวน 2 รายการ</t>
  </si>
  <si>
    <t>พัสดุหมวด 27 (ยังไม่กำหนด) จำนวน 0 รายการ</t>
  </si>
  <si>
    <t>พัสดุหมวด 32 เครื่องจักรกลงานไม้และบริภัณฑ์ จำนวน 3 รายการ</t>
  </si>
  <si>
    <t>พัสดุหมวด 34 เครื่องจักรกลงานโลหะ จำนวน 11 รายการ</t>
  </si>
  <si>
    <t>พัสดุหมวด 37 เครื่องจักรกลและบริภัณฑ์เกษตรกรรม จำนวน 6 รายการ</t>
  </si>
  <si>
    <t>พัสดุหมวด 38 บริภัณฑ์การก่อสร้าง การทำเหมืองแร่ การขุดและการซ่อมบำรุงถนน จำนวน 12 รายการ</t>
  </si>
  <si>
    <t>พัสดุหมวด 39 บริภัณฑ์ยกย้ายพัสดุ จำนวน 16 รายการ</t>
  </si>
  <si>
    <t>พัสดุหมวด 41 บริภัณฑ์ทำความเย็น การปรับสภาพอากาศ และการถ่ายเทอากาศ จำนวน 27 รายการ</t>
  </si>
  <si>
    <t>พัสดุหมวด 42 บริภัณฑ์ดับเพลิง กู้ภัยและนิรภัย จำนวน 13 รายการ</t>
  </si>
  <si>
    <t>พัสดุหมวด 43 สูบและเครื่องอัด จำนวน 37 รายการ</t>
  </si>
  <si>
    <t>พัสดุหมวด 44 เตาหลอม เครื่องไอน้ำและบริภัณฑ์ทำให้แห้ง จำนวน 9 รายการ</t>
  </si>
  <si>
    <t>พัสดุหมวด 45 บริภัณฑ์เครื่องห่อ บริภัณฑ์ทำความร้อนและบริภัณฑ์สุขาภิบาล จำนวน 3 รายการ</t>
  </si>
  <si>
    <t>พัสดุหมวด 46 บริภัณฑ์ทำให้น้ำบริสุทธิ์ บริภัณฑ์กำจัดสิ่งโสโครก จำนวน 6 รายการ</t>
  </si>
  <si>
    <t>พัสดุหมวด 49 บริภัณฑ์โรงงานซ่อมบำรุงและโรงซ่อม จำนวน 3 รายการ</t>
  </si>
  <si>
    <t>พัสดุหมวด 51 เครื่องมือชนิดถือ จำนวน 26 รายการ</t>
  </si>
  <si>
    <t>พัสดุหมวด 52 เครื่องมือวัด จำนวน 0 รายการ</t>
  </si>
  <si>
    <t>พัสดุหมวด 53 ฮาร์ดแวร์และวัสดุสำหรับขัด จำนวน 2 รายการ</t>
  </si>
  <si>
    <t>พัสดุหมวด 54 โครงสร้างสำเร็จรูปและเครื่องนั่งร้าน จำนวน 2 รายการ</t>
  </si>
  <si>
    <t>พัสดุหมวด 56 วัสดุอาคารและการก่อสร้าง จำนวน 0 รายการ</t>
  </si>
  <si>
    <t>พัสดุหมวด 59 ส่วนประกอบบริภัณฑ์ไฟฟ้าและ อิเล็กทรอนิกส์ จำนวน 2 รายการ</t>
  </si>
  <si>
    <t>พัสดุหมวด 61 สายไฟฟ้าและบริภัณฑ์ทำไฟฟ้าและจ่ายกระแสไฟฟ้า จำนวน 43 รายการ</t>
  </si>
  <si>
    <t>พัสดุหมวด 62 สิ่งติดตั้งให้แสงสว่างและหลอดไฟฟ้า จำนวน 6 รายการ</t>
  </si>
  <si>
    <t>พัสดุหมวด 63 ระบบให้สัญญาณและแจ้งภัย จำนวน 0 รายการ</t>
  </si>
  <si>
    <t>พัสดุหมวด 66 เครื่องวัดและบริภัณฑ์ห้องวิทยาศาสตร์ จำนวน 29 รายการ</t>
  </si>
  <si>
    <t>พัสดุหมวด 68 เคมีภัณฑ์และผลิตภัณฑ์เคมี จำนวน 4 รายการ</t>
  </si>
  <si>
    <t>พัสดุหมวด 72 เครื่องใช้และเครื่องตบแต่งที่ใช้ในบ้านและร้านค้า จำนวน 0 รายการ</t>
  </si>
  <si>
    <t>พัสดุหมวด 84 อาภรณ์ภัณฑ์ บริภัณฑ์ประจำกายและเครื่องหมาย จำนวน 3 รายการ</t>
  </si>
  <si>
    <t>พัสดุหมวด 99 เบ็ดเตล็ด จำนวน 2 รายการ</t>
  </si>
  <si>
    <t>1-58</t>
  </si>
  <si>
    <t>จากบัญชีของ สน.งปฯ ธ.ค.61</t>
  </si>
  <si>
    <t>100</t>
  </si>
  <si>
    <t>151</t>
  </si>
  <si>
    <t>รถดูดสิ่งโสโครก ขนาด 5 ลูกบาศก์เมตร      (ย้ายไปหมวด 23)</t>
  </si>
  <si>
    <t>รถดูดสิ่งโสโครก ขนาด 5 ลูกบาศก์เมตร      (ย้ายมาจากหมวด 46)</t>
  </si>
  <si>
    <r>
      <t xml:space="preserve">รถบรรทุก (ดีเซล) ขนาด 2 ตัน 4 ล้อ                   </t>
    </r>
    <r>
      <rPr>
        <sz val="12"/>
        <color rgb="FFFF0000"/>
        <rFont val="TH SarabunPSK"/>
        <family val="2"/>
      </rPr>
      <t>(สีเหลืองนี้สลับเรียงลำดับใหม่)</t>
    </r>
  </si>
  <si>
    <t>ระบบควบคุมและสั่งการ ชย.ทอ.  (ย้ายไปหมวด 9999 หรือตัดออก)</t>
  </si>
  <si>
    <t>เครื่องบรรจุผงเคมี     (ย้ายมาจาก หมวด 43  ให้เป็นหมวด 42)</t>
  </si>
  <si>
    <t>เครื่องสูบน้ำเสียแบบจุ่ม ขนาด 10 ลูกบาศก์เมตรต่อชั่วโมง</t>
  </si>
  <si>
    <t>ชุดทดสอบหาค่า LIQUID LIMIT และ  PLASTIC LIMIT</t>
  </si>
  <si>
    <t>เครื่องปรับอากาศ แบบแยกส่วน แบบตั้งพื้นหรือแบบแขวน ขนาด 40,000 บีทียู</t>
  </si>
  <si>
    <t>เครื่องสูบน้ำดับเพลิง ชนิดขับเคลื่อนด้วยเครื่องยนต์ดีเซล ขนาด 1,250 เเกลลอนต่อนาที (ย้ายไป 4210)</t>
  </si>
  <si>
    <t>เครื่องสูบน้ำดับเพลิงชนิดขับเคลื่อนด้วยมอเตอร์ไฟฟ้า ขนาด 1,250 เเกลลอนต่อนาที(ย้ายไป 4210)</t>
  </si>
  <si>
    <t xml:space="preserve">รถบรรทุก (ดีเซล) ขนาด 2 ตัน 4 ล้อ                </t>
  </si>
  <si>
    <t>พัสดุหมวด 32 เครื่องจักรกลงานไม้และบริภัณฑ์</t>
  </si>
  <si>
    <t>พัสดุหมวด 34 เครื่องจักรกลงานโลหะ</t>
  </si>
  <si>
    <t>พัสดุหมวด 37 เครื่องจักรกลและบริภัณฑ์เกษตรกรรม</t>
  </si>
  <si>
    <t xml:space="preserve">พัสดุหมวด 38 บริภัณฑ์การก่อสร้าง การทำเหมืองแร่ การขุดและการซ่อมบำรุงถนน </t>
  </si>
  <si>
    <t>พัสดุหมวด 39 บริภัณฑ์ยกย้ายพัสดุ</t>
  </si>
  <si>
    <t xml:space="preserve">พัสดุหมวด 41 บริภัณฑ์ทำความเย็น การปรับสภาพอากาศ และการถ่ายเทอากาศ </t>
  </si>
  <si>
    <t>พัสดุหมวด 42 บริภัณฑ์ดับเพลิง กู้ภัยและนิรภัย</t>
  </si>
  <si>
    <t xml:space="preserve">พัสดุหมวด 43 สูบและเครื่องอัด </t>
  </si>
  <si>
    <t xml:space="preserve">พัสดุหมวด 44 เตาหลอม เครื่องไอน้ำและบริภัณฑ์ทำให้แห้ง </t>
  </si>
  <si>
    <t xml:space="preserve">พัสดุหมวด 45 บริภัณฑ์เครื่องห่อ บริภัณฑ์ทำความร้อนและบริภัณฑ์สุขาภิบาล </t>
  </si>
  <si>
    <t>พัสดุหมวด 46 บริภัณฑ์ทำให้น้ำบริสุทธิ์ บริภัณฑ์กำจัดสิ่งโสโครก</t>
  </si>
  <si>
    <t>พัสดุหมวด 49 บริภัณฑ์โรงงานซ่อมบำรุงและโรงซ่อม</t>
  </si>
  <si>
    <t xml:space="preserve">พัสดุหมวด 51 เครื่องมือชนิดถือ </t>
  </si>
  <si>
    <t>พัสดุหมวด 53 ฮาร์ดแวร์และวัสดุสำหรับขัด</t>
  </si>
  <si>
    <t>พัสดุหมวด 54 โครงสร้างสำเร็จรูปและเครื่องนั่งร้าน</t>
  </si>
  <si>
    <t xml:space="preserve">พัสดุหมวด 59 ส่วนประกอบบริภัณฑ์ไฟฟ้าและ อิเล็กทรอนิกส์ </t>
  </si>
  <si>
    <t>พัสดุหมวด 61 สายไฟฟ้าและบริภัณฑ์ทำไฟฟ้าและจ่ายกระแสไฟฟ้า</t>
  </si>
  <si>
    <t>พัสดุหมวด 62 สิ่งติดตั้งให้แสงสว่างและหลอดไฟฟ้า</t>
  </si>
  <si>
    <t xml:space="preserve">พัสดุหมวด 66 เครื่องวัดและบริภัณฑ์ห้องวิทยาศาสตร์ </t>
  </si>
  <si>
    <t xml:space="preserve">พัสดุหมวด 68 เคมีภัณฑ์และผลิตภัณฑ์เคมี </t>
  </si>
  <si>
    <t xml:space="preserve">พัสดุหมวด 84 อาภรณ์ภัณฑ์ บริภัณฑ์ประจำกายและเครื่องหมาย </t>
  </si>
  <si>
    <t xml:space="preserve">พัสดุหมวด 99 เบ็ดเตล็ด </t>
  </si>
  <si>
    <t xml:space="preserve">เครื่องปรับอากาศ แบบแยกส่วน แบบตั้งพื้นหรือแบบแขวน ขนาด 32,000 บีทียู </t>
  </si>
  <si>
    <t xml:space="preserve">พัสดุจากบัญชีของ สน.งปฯ </t>
  </si>
  <si>
    <t xml:space="preserve">รถบรรทุกขยะ ขนาด 1 ตัน ปริมาตรกระบอกสูบไม่ต่ำกว่า 2,400 ซีซี หรือกำลังเครื่องยนต์สูงสุด ไม่ต่ำกว่า 110 กิโลวัตต์ แบบเปิด ข้างเทท้าย </t>
  </si>
  <si>
    <t xml:space="preserve">รถฟาร์มแทรกเตอร์ ชนิดขับเคลื่อน 4 ล้อ ขนาด 40 แรงม้า </t>
  </si>
  <si>
    <t xml:space="preserve">รถฟาร์มแทรกเตอร์ ชนิดขับเคลื่อน 4 ล้อ ขนาด 85 แรงม้า </t>
  </si>
  <si>
    <t>เครื่องปรับอากาศ แบบแยกส่วน แบบติดผนัง ขนาด 12,000 บีทียู</t>
  </si>
  <si>
    <t>เครื่องปรับอากาศ แบบแยกส่วน แบบติดผนัง ขนาด 18,000 บีทียู</t>
  </si>
  <si>
    <t>เครื่องปรับอากาศ แบบแยกส่วน แบบติดผนัง ขนาด 20,000 บีทียู</t>
  </si>
  <si>
    <t>เครื่องปรับอากาศ แบบแยกส่วน แบบติดผนัง ขนาด 24,000 บีทียู</t>
  </si>
  <si>
    <t>เครื่องปรับอากาศ แบบแยกส่วน แบบติดผนัง (ระบบ Inverter) ขนาด 12,000 บีทียู</t>
  </si>
  <si>
    <t>เครื่องปรับอากาศ แบบแยกส่วน แบบติดผนัง (ระบบ Inverter)ขนาด 15,000 บีทียู</t>
  </si>
  <si>
    <t>เครื่องปรับอากาศ แบบแยกส่วน แบบติดผนัง (ระบบ Inverter) ขนาด 18,000 บีทียู</t>
  </si>
  <si>
    <t>เครื่องปรับอากาศ แบบแยกส่วน แบบติดผนัง (ระบบ Inverter)ขนาด 24,000 บีทียู</t>
  </si>
  <si>
    <t xml:space="preserve">เครื่องบรรจุผงเคมี    </t>
  </si>
  <si>
    <t xml:space="preserve">รถดูดสิ่งโสโครก ขนาด 5 ลูกบาศก์เมตร     </t>
  </si>
  <si>
    <t xml:space="preserve">รถตักล้อยาง ขนาด 150 แรงม้า </t>
  </si>
  <si>
    <t>สน.งปฯ ธ.ค.61</t>
  </si>
  <si>
    <t xml:space="preserve">ชุดทดสอบความหนาแน่นของดินในสนามแบบ ELECTRICAL DENSITY GAUGE  </t>
  </si>
  <si>
    <t>3828 1/62</t>
  </si>
  <si>
    <t>4210 11/62</t>
  </si>
  <si>
    <t>เครื่องอ่านมาตรวัดน้ำประปาพร้อมเครื่องพิมพ์ความร้อนเเบบพกพา</t>
  </si>
  <si>
    <t>เครื่องสูบน้ำแบบหอยโข่งมอเตอร์ไฟฟ้า สูบน้ำได้  450 ลิตรต่อนาที</t>
  </si>
  <si>
    <t>เครื่องสูบน้ำแบบหอยโข่งมอเตอร์ไฟฟ้า สูบน้ำได้ 1,500 ลิตรต่อนาที</t>
  </si>
  <si>
    <t>เครื่องสูบน้ำแบบหอยโข่งมอเตอร์ไฟฟ้า สูบน้ำได้ 1,130 ลิตรต่อนาที</t>
  </si>
  <si>
    <t>เครื่องสูบน้ำแบบหอยโข่งเครื่องยนต์เบนซิน สูบน้ำได้  450 ลิตรต่อนาที</t>
  </si>
  <si>
    <t xml:space="preserve">พัสดุหมวด 23  ยานยนต์ รถพ่วงและจักรยาน    </t>
  </si>
  <si>
    <t xml:space="preserve">พัสดุหมวด 24  รถแทรกเตอร์                   </t>
  </si>
  <si>
    <t>4320 2/62</t>
  </si>
  <si>
    <t xml:space="preserve">เครื่องสูบน้ำเครื่องยนต์เบนซิน </t>
  </si>
  <si>
    <t>4211 12/60</t>
  </si>
  <si>
    <t>รถบริการงานดับเพลิงและกู้ภัย</t>
  </si>
  <si>
    <t>6635 1/62</t>
  </si>
  <si>
    <t>6630 1/62</t>
  </si>
  <si>
    <t>เครื่องวัดค่าความเป็นกรดด่างแบบปากกา</t>
  </si>
  <si>
    <t>ชุดไฟส่องสว่างฉุกเฉินแบบเคลื่อนที่ ขนาดไม่น้อยกว่า 5 KVA</t>
  </si>
  <si>
    <t>ชุดไฟส่องสว่างฉุกเฉินแบบเคลื่อนที่ ขนาดไม่น้อยกว่า 6 KVA</t>
  </si>
  <si>
    <t>6210 1/62</t>
  </si>
  <si>
    <t>6210 2/62</t>
  </si>
  <si>
    <t>2320 8/62</t>
  </si>
  <si>
    <t>3805  2/62</t>
  </si>
  <si>
    <t>รถตักหน้าขุดหลังขนาดไม่น้อยกว่า 75 แรงม้า</t>
  </si>
  <si>
    <t>3825 2/62</t>
  </si>
  <si>
    <t>รถกวาดดูดฝุ่นขนาดเล็ก</t>
  </si>
  <si>
    <t>3895 1/62</t>
  </si>
  <si>
    <t>เครื่องปูแอสฟัลสติกคอนกรีต ขนาดปูได้หน้ากว้างไม่น้อยกว่า 5 เมตร 
แบบสายพานตีนตะขาบ</t>
  </si>
  <si>
    <t>3895 3/62</t>
  </si>
  <si>
    <t>รถบดตีนแกะ ขนาด 10 ตัน</t>
  </si>
  <si>
    <t>เครื่องบรรจุสารเคมี</t>
  </si>
  <si>
    <t>เครื่องสูบน้ำเเบบหอยโข่ง ขนาด 25 ลูกบาศก์เมตรต่อชั่วโมง</t>
  </si>
  <si>
    <t>5120 1/62</t>
  </si>
  <si>
    <t>ไม้ชักฟิวส์ 3 ท่อน</t>
  </si>
  <si>
    <t>เครื่องจ่ายกระแสไฟฟ้าแบบต่อเนื่อง ขนาด 30 kVA.</t>
  </si>
  <si>
    <t>6150 1/62</t>
  </si>
  <si>
    <t>เครืองตัดแต่งพุ่มไม้ ขนาด 22 นิ้ว</t>
  </si>
  <si>
    <t>เครืองตัดแต่งพุ่มไม้ ขนาด 29.5 นิ้ว</t>
  </si>
  <si>
    <t>เครื่องตัดหญ้า แบบข้อแข็ง</t>
  </si>
  <si>
    <t>ถังน้ำ แบบไฟเบอร์กลาส ขนาดความจุ 1,000 ลิตร</t>
  </si>
  <si>
    <t>ถังน้ำ แบบไฟเบอร์กลาส ขนาดความจุ 1,500 ลิตร</t>
  </si>
  <si>
    <t>ถังน้ำ แบบไฟเบอร์กลาส ขนาดความจุ 2,000 ลิตร</t>
  </si>
  <si>
    <t>ถังน้ำ แบบไฟเบอร์กลาส ขนาดความจุ 2,500 ลิตร</t>
  </si>
  <si>
    <t>ถังน้ำ แบบพลาสติก ขนาดความจุ 2,000 ลิตร</t>
  </si>
  <si>
    <t>ถังน้ำ แบบสเตนเลส ขนาดความจุ 1,000 ลิตร</t>
  </si>
  <si>
    <t>ถังน้ำ แบบสเตนเลส ขนาดความจุ 1,500 ลิตร</t>
  </si>
  <si>
    <t>ถังน้ำ แบบสเตนเลส ขนาดความจุ 2,000 ลิตร</t>
  </si>
  <si>
    <t>ถังน้ำ แบบสเตนเลส ขนาดความจุ 2,500 ลิตร</t>
  </si>
  <si>
    <t>กล้องระดับ ขนาดกำลังขยาย 24 เท่า</t>
  </si>
  <si>
    <t>กล้องระดับ ขนาดกำลังขยาย 30 เท่า</t>
  </si>
  <si>
    <t>กล้องวัดมุม แบบธรรมดา ชนิดอ่านค่ามุมได้ละเอียด 1 ลิปดา</t>
  </si>
  <si>
    <t>กล้องวัดมุม แบบอิเล็กทรอนิกส์ ชนิดอ่านค่ามุมได้ละเอียด 5 พิลิปดา (ระบบอัตโนมัติ)</t>
  </si>
  <si>
    <t>กล้องวัดมุม แบบอิเล็กทรอนิกส์ ชนิดอ่านค่ามุมได้ละเอียด 5 พิลิปดา</t>
  </si>
  <si>
    <t>กล้องวัดมุม แบบอิเล็กทรอนิกส์ ชนิดอ่านค่ามุมได้ละเอียด 10 พิลิปดา</t>
  </si>
  <si>
    <t xml:space="preserve">กล้องวัดมุม แบบอิเล็กทรอนิกส์ ชนิดอ่านค่ามุมได้ละเอียด 20 พิลิปดา </t>
  </si>
  <si>
    <t>จากบัญชีของ สน.งปฯ ธ.ค.62</t>
  </si>
  <si>
    <t>จากบัญชีของ สน.งปฯ ธ.ค.63</t>
  </si>
  <si>
    <t>จากบัญชีของ สน.งปฯ ธ.ค.64</t>
  </si>
  <si>
    <t>จากบัญชีของ สน.งปฯ ธ.ค.65</t>
  </si>
  <si>
    <t>จากบัญชีของ สน.งปฯ ธ.ค.66</t>
  </si>
  <si>
    <t>จากบัญชีของ สน.งปฯ ธ.ค.67</t>
  </si>
  <si>
    <t>จากบัญชีของ สน.งปฯ ธ.ค.68</t>
  </si>
  <si>
    <t>จากบัญชีของ สน.งปฯ ธ.ค.69</t>
  </si>
  <si>
    <t>จากบัญชีของ สน.งปฯ ธ.ค.70</t>
  </si>
  <si>
    <t>จากบัญชีของ สน.งปฯ ธ.ค.71</t>
  </si>
  <si>
    <t>จากบัญชีของ สน.งปฯ ธ.ค.72</t>
  </si>
  <si>
    <t>จากบัญชีของ สน.งปฯ ธ.ค.73</t>
  </si>
  <si>
    <t>จากบัญชีของ สน.งปฯ ธ.ค.74</t>
  </si>
  <si>
    <t>จากบัญชีของ สน.งปฯ ธ.ค.75</t>
  </si>
  <si>
    <t>จากบัญชีของ สน.งปฯ ธ.ค.76</t>
  </si>
  <si>
    <t>จากบัญชีของ สน.งปฯ ธ.ค.77</t>
  </si>
  <si>
    <t>จากบัญชีของ สน.งปฯ ธ.ค.78</t>
  </si>
  <si>
    <t>จากบัญชีของ สน.งปฯ ธ.ค.79</t>
  </si>
  <si>
    <t>จากบัญชีของ สน.งปฯ ธ.ค.80</t>
  </si>
  <si>
    <t>จากบัญชีของ สน.งปฯ ธ.ค.81</t>
  </si>
  <si>
    <t>จากบัญชีของ สน.งปฯ ธ.ค.82</t>
  </si>
  <si>
    <t>จากบัญชีของ สน.งปฯ ธ.ค.83</t>
  </si>
  <si>
    <t>จากบัญชีของ สน.งปฯ ธ.ค.84</t>
  </si>
  <si>
    <t>จากบัญชีของ สน.งปฯ ธ.ค.85</t>
  </si>
  <si>
    <t>จากบัญชีของ สน.งปฯ ธ.ค.86</t>
  </si>
  <si>
    <t>จากบัญชีของ สน.งปฯ ธ.ค.87</t>
  </si>
  <si>
    <t>จากบัญชีของ สน.งปฯ ธ.ค.88</t>
  </si>
  <si>
    <t>จากบัญชีของ สน.งปฯ ธ.ค.89</t>
  </si>
  <si>
    <t>จากบัญชีของ สน.งปฯ ธ.ค.90</t>
  </si>
  <si>
    <t>จากบัญชีของ สน.งปฯ ธ.ค.91</t>
  </si>
  <si>
    <t>เครื่องกำเนิดไฟฟ้า 15 กิโลวัตต์</t>
  </si>
  <si>
    <t>รถฟาร์มแทรกเตอร์ ขนาดไม่ต่ำกว่า 85 แรงม้าพร้อมชุดเครื่องพ่วงตัดหญ้าและชุดใบมีดปรับพื้นที่</t>
  </si>
  <si>
    <t>รถขุดตีนตะขาบ ขนาดไม่น้อยกว่า 20 กิโลวัตต์</t>
  </si>
  <si>
    <t>รถตักหน้าขุดหลัง ขนาดไม่ต่ำกว่า 75 แรงม้า</t>
  </si>
  <si>
    <t>เครื่องปูแอสฟัลสติกคอนกรีต ขนาดปูได้หน้ากว้างไม่น้อยกว่า 5 เมตร แบบสายพานตีนตะขาบ</t>
  </si>
  <si>
    <t>รถบดล้อเหล็ก ขนาด 8 ตัน</t>
  </si>
  <si>
    <t>สวิต์ปลด - สับกระแสไฟฟ้า 33 kV 400 A</t>
  </si>
  <si>
    <t>ตู้อบตัวอย่างวัสดุ (DRYING OVEN) ขนาด 240 ลิตร</t>
  </si>
  <si>
    <t>6675 1/62</t>
  </si>
  <si>
    <t>เครื่องสูบน้ำเสียแบบ SUBMERSIBLE  SEWAGE PUMP ขนาด 500 ลูกบาศก์เมตรต่อชั่วโมง</t>
  </si>
  <si>
    <t>3828 1/56</t>
  </si>
  <si>
    <t>3895 5/62</t>
  </si>
  <si>
    <t>เครื่องปูแอสฟัลสติกคอนกรีต ขนาดไม่ต่ำกว่า 75 แรงม้า</t>
  </si>
  <si>
    <t>3895 6/62</t>
  </si>
  <si>
    <t>เครื่องปูแอสฟัลสติกคอนกรีต</t>
  </si>
  <si>
    <t>กรงฯ</t>
  </si>
  <si>
    <t>4520 1/62</t>
  </si>
  <si>
    <t>เครื่องกำเนิดไอน้ำ ขนาดไม่ต่ำกว่า 60 แรงม้า</t>
  </si>
  <si>
    <t>3825 1/56</t>
  </si>
  <si>
    <t>3825 1/62</t>
  </si>
  <si>
    <t>3895 8/62</t>
  </si>
  <si>
    <t>เครื่องกระทุ้งดิน แบบกระโดดเครื่องยนต์เบนซิน 4 จังหวะ</t>
  </si>
  <si>
    <t>3895 9/62</t>
  </si>
  <si>
    <t>3940 1/62</t>
  </si>
  <si>
    <t>เครื่องพ่นสี ขนาด 1/2 แรงม้า</t>
  </si>
  <si>
    <t>3230 1/58</t>
  </si>
  <si>
    <t>6115 3/55</t>
  </si>
  <si>
    <t>6115 1/62</t>
  </si>
  <si>
    <t xml:space="preserve">รถขุดตีนตะขาบ ขนาด 150 แรงม้า พร้อมหัวเจาะกระแทก  </t>
  </si>
  <si>
    <t>8415 1/63</t>
  </si>
  <si>
    <t>รถบดล้อหน้าเหล็กล้อหลังยาง ขนาดไม่น้อยกว่า 3 ตัน</t>
  </si>
  <si>
    <t>2320 4/63</t>
  </si>
  <si>
    <t>รถบรรทุกขนาด 3 ตัน 6 ล้อ แบบกระบะเทท้าย</t>
  </si>
  <si>
    <t>2320 2/63</t>
  </si>
  <si>
    <t>รถบริการงานซ่อมบำรุงเครื่องทุ่นแรง</t>
  </si>
  <si>
    <t>2320 3/63</t>
  </si>
  <si>
    <t>รถเติมเชื้อเพลิงเครื่องทุนแรง ขนาดบรรจุ 1,000 ลิตร</t>
  </si>
  <si>
    <t>3895 1/63</t>
  </si>
  <si>
    <t>3895 4/62</t>
  </si>
  <si>
    <t>3895 2/63</t>
  </si>
  <si>
    <t>รถบดล้อยาง ขนาด 10 ตัน</t>
  </si>
  <si>
    <t>3805 6/63</t>
  </si>
  <si>
    <t>รถถากถาง ขนาดไม่ต่ำกว่า 80 แรงม้า</t>
  </si>
  <si>
    <t>6635 2/63</t>
  </si>
  <si>
    <t>ชุดทดสอบการสึกกร่อนของวัสดุมวลรวม</t>
  </si>
  <si>
    <t>6675 1/63</t>
  </si>
  <si>
    <t>ชุดสำรวจสภาพโครงสร้างชั้นทางด้วยตุ้มน้ำหนักกระแทกแบบน้ำหนักสูง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</si>
</sst>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87" formatCode="_(* #,##0.00_);_(* \(#,##0.00\);_(* &quot;-&quot;??_);_(@_)"/>
    <numFmt numFmtId="188" formatCode="d/m/yy"/>
    <numFmt numFmtId="189" formatCode="####\-##\-###\-####"/>
    <numFmt numFmtId="190" formatCode="dd/mm/yy"/>
    <numFmt numFmtId="191" formatCode="[$฿-41E]#,##0.00"/>
    <numFmt numFmtId="192" formatCode="d&quot; &quot;mmm&quot; &quot;yy"/>
    <numFmt numFmtId="193" formatCode="d\ mmmyy"/>
    <numFmt numFmtId="194" formatCode="_(* #,##0_);_(* \(#,##0\);_(* &quot;-&quot;??_);_(@_)"/>
  </numFmts>
  <fonts count="111">
    <font>
      <sz val="10"/>
      <color rgb="FF000000"/>
      <name val="Arial"/>
    </font>
    <font>
      <sz val="14"/>
      <name val="TH SarabunPSK"/>
      <family val="2"/>
    </font>
    <font>
      <sz val="12"/>
      <name val="TH SarabunPSK"/>
      <family val="2"/>
    </font>
    <font>
      <sz val="14"/>
      <color rgb="FFFFFFFF"/>
      <name val="TH SarabunPSK"/>
      <family val="2"/>
    </font>
    <font>
      <sz val="11"/>
      <name val="TH SarabunPSK"/>
      <family val="2"/>
    </font>
    <font>
      <sz val="14"/>
      <color rgb="FF434343"/>
      <name val="TH SarabunPSK"/>
      <family val="2"/>
    </font>
    <font>
      <sz val="12"/>
      <color rgb="FFFFFFFF"/>
      <name val="TH SarabunPSK"/>
      <family val="2"/>
    </font>
    <font>
      <sz val="12"/>
      <color rgb="FF434343"/>
      <name val="TH SarabunPSK"/>
      <family val="2"/>
    </font>
    <font>
      <b/>
      <sz val="10"/>
      <color rgb="FF434343"/>
      <name val="TH SarabunPSK"/>
      <family val="2"/>
    </font>
    <font>
      <b/>
      <sz val="14"/>
      <color rgb="FF434343"/>
      <name val="TH SarabunPSK"/>
      <family val="2"/>
    </font>
    <font>
      <b/>
      <sz val="14"/>
      <name val="TH SarabunPSK"/>
      <family val="2"/>
    </font>
    <font>
      <u/>
      <sz val="14"/>
      <color rgb="FF1155CC"/>
      <name val="TH SarabunPSK"/>
      <family val="2"/>
    </font>
    <font>
      <u/>
      <sz val="14"/>
      <color rgb="FFFF9900"/>
      <name val="TH SarabunPSK"/>
      <family val="2"/>
    </font>
    <font>
      <u/>
      <sz val="14"/>
      <color rgb="FFFF9900"/>
      <name val="TH SarabunPSK"/>
      <family val="2"/>
    </font>
    <font>
      <u/>
      <sz val="14"/>
      <color rgb="FF0000FF"/>
      <name val="TH SarabunPSK"/>
      <family val="2"/>
    </font>
    <font>
      <u/>
      <sz val="12"/>
      <color rgb="FF0000FF"/>
      <name val="TH SarabunPSK"/>
      <family val="2"/>
    </font>
    <font>
      <b/>
      <sz val="12"/>
      <color rgb="FF434343"/>
      <name val="TH SarabunPSK"/>
      <family val="2"/>
    </font>
    <font>
      <b/>
      <sz val="12"/>
      <name val="TH SarabunPSK"/>
      <family val="2"/>
    </font>
    <font>
      <u/>
      <sz val="14"/>
      <color rgb="FFFF9900"/>
      <name val="TH SarabunPSK"/>
      <family val="2"/>
    </font>
    <font>
      <u/>
      <sz val="14"/>
      <color rgb="FFFF9900"/>
      <name val="TH SarabunPSK"/>
      <family val="2"/>
    </font>
    <font>
      <u/>
      <sz val="12"/>
      <color rgb="FF0000FF"/>
      <name val="TH SarabunPSK"/>
      <family val="2"/>
    </font>
    <font>
      <u/>
      <sz val="14"/>
      <color rgb="FFFF9900"/>
      <name val="TH SarabunPSK"/>
      <family val="2"/>
    </font>
    <font>
      <u/>
      <sz val="14"/>
      <color rgb="FFFF9900"/>
      <name val="TH SarabunPSK"/>
      <family val="2"/>
    </font>
    <font>
      <sz val="10"/>
      <name val="TH SarabunPSK"/>
      <family val="2"/>
    </font>
    <font>
      <sz val="14"/>
      <color rgb="FF000000"/>
      <name val="TH SarabunPSK"/>
      <family val="2"/>
    </font>
    <font>
      <sz val="12"/>
      <color rgb="FFFFFFFF"/>
      <name val="Arial"/>
      <family val="2"/>
    </font>
    <font>
      <u/>
      <sz val="14"/>
      <color rgb="FF1155CC"/>
      <name val="TH SarabunPSK"/>
      <family val="2"/>
    </font>
    <font>
      <sz val="12"/>
      <name val="Arial"/>
      <family val="2"/>
    </font>
    <font>
      <sz val="14"/>
      <color rgb="FFFF0000"/>
      <name val="TH SarabunPSK"/>
      <family val="2"/>
    </font>
    <font>
      <u/>
      <sz val="12"/>
      <color rgb="FF434343"/>
      <name val="TH SarabunPSK"/>
      <family val="2"/>
    </font>
    <font>
      <u/>
      <sz val="14"/>
      <color rgb="FFE6B8AF"/>
      <name val="TH SarabunPSK"/>
      <family val="2"/>
    </font>
    <font>
      <u/>
      <sz val="14"/>
      <color rgb="FFE6B8AF"/>
      <name val="TH SarabunPSK"/>
      <family val="2"/>
    </font>
    <font>
      <u/>
      <sz val="12"/>
      <color rgb="FFFF9900"/>
      <name val="TH SarabunPSK"/>
      <family val="2"/>
    </font>
    <font>
      <sz val="14"/>
      <name val="&quot;TH SarabunPSK&quot;"/>
    </font>
    <font>
      <sz val="10"/>
      <name val="Arial"/>
      <family val="2"/>
    </font>
    <font>
      <u/>
      <sz val="14"/>
      <name val="TH SarabunPSK"/>
      <family val="2"/>
    </font>
    <font>
      <u/>
      <sz val="14"/>
      <name val="TH SarabunPSK"/>
      <family val="2"/>
    </font>
    <font>
      <b/>
      <sz val="10"/>
      <name val="TH SarabunPSK"/>
      <family val="2"/>
    </font>
    <font>
      <u/>
      <sz val="14"/>
      <color rgb="FF1155CC"/>
      <name val="TH SarabunPSK"/>
      <family val="2"/>
    </font>
    <font>
      <u/>
      <sz val="14"/>
      <color rgb="FF0000FF"/>
      <name val="TH SarabunPSK"/>
      <family val="2"/>
    </font>
    <font>
      <u/>
      <sz val="14"/>
      <color rgb="FF0000FF"/>
      <name val="TH SarabunPSK"/>
      <family val="2"/>
    </font>
    <font>
      <u/>
      <sz val="14"/>
      <color rgb="FF0000FF"/>
      <name val="TH SarabunPSK"/>
      <family val="2"/>
    </font>
    <font>
      <u/>
      <sz val="14"/>
      <color rgb="FF0000FF"/>
      <name val="TH SarabunPSK"/>
      <family val="2"/>
    </font>
    <font>
      <u/>
      <sz val="14"/>
      <name val="TH SarabunPSK"/>
      <family val="2"/>
    </font>
    <font>
      <u/>
      <sz val="14"/>
      <color rgb="FF1155CC"/>
      <name val="TH SarabunPSK"/>
      <family val="2"/>
    </font>
    <font>
      <u/>
      <sz val="14"/>
      <color rgb="FF1155CC"/>
      <name val="TH SarabunPSK"/>
      <family val="2"/>
    </font>
    <font>
      <u/>
      <sz val="14"/>
      <color rgb="FF0000FF"/>
      <name val="TH SarabunPSK"/>
      <family val="2"/>
    </font>
    <font>
      <u/>
      <sz val="14"/>
      <color rgb="FF0000FF"/>
      <name val="TH SarabunPSK"/>
      <family val="2"/>
    </font>
    <font>
      <u/>
      <sz val="14"/>
      <color rgb="FF0000FF"/>
      <name val="TH SarabunPSK"/>
      <family val="2"/>
    </font>
    <font>
      <u/>
      <sz val="14"/>
      <name val="TH SarabunPSK"/>
      <family val="2"/>
    </font>
    <font>
      <sz val="14"/>
      <color rgb="FF000000"/>
      <name val="&quot;TH SarabunPSK&quot;"/>
    </font>
    <font>
      <sz val="10"/>
      <name val="Arial"/>
      <family val="2"/>
    </font>
    <font>
      <u/>
      <sz val="14"/>
      <name val="TH SarabunPSK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rgb="FF363636"/>
      <name val="Arial"/>
      <family val="2"/>
    </font>
    <font>
      <b/>
      <sz val="18"/>
      <color rgb="FF434343"/>
      <name val="Verdana"/>
      <family val="2"/>
    </font>
    <font>
      <b/>
      <sz val="24"/>
      <color rgb="FFFF0000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36"/>
      <name val="Arial"/>
      <family val="2"/>
    </font>
    <font>
      <b/>
      <sz val="32"/>
      <name val="Arial"/>
      <family val="2"/>
    </font>
    <font>
      <b/>
      <sz val="10"/>
      <color rgb="FFFFFF00"/>
      <name val="Arial"/>
      <family val="2"/>
    </font>
    <font>
      <b/>
      <sz val="8"/>
      <name val="Arial"/>
      <family val="2"/>
    </font>
    <font>
      <u/>
      <sz val="14"/>
      <color rgb="FF1155CC"/>
      <name val="TH SarabunPSK"/>
      <family val="2"/>
    </font>
    <font>
      <sz val="10"/>
      <name val="Arial"/>
      <family val="2"/>
    </font>
    <font>
      <sz val="8"/>
      <name val="Arial"/>
      <family val="2"/>
    </font>
    <font>
      <sz val="14"/>
      <color rgb="FFF3F3F3"/>
      <name val="TH SarabunPSK"/>
      <family val="2"/>
    </font>
    <font>
      <sz val="10"/>
      <color rgb="FF1C4587"/>
      <name val="Arial"/>
      <family val="2"/>
    </font>
    <font>
      <u/>
      <sz val="10"/>
      <color rgb="FF0000FF"/>
      <name val="Arial"/>
      <family val="2"/>
    </font>
    <font>
      <sz val="10"/>
      <color rgb="FFFFFFFF"/>
      <name val="Arial"/>
      <family val="2"/>
    </font>
    <font>
      <sz val="9"/>
      <name val="TH SarabunPSK"/>
      <family val="2"/>
    </font>
    <font>
      <b/>
      <sz val="14"/>
      <color rgb="FFFFFFFF"/>
      <name val="TH SarabunPSK"/>
      <family val="2"/>
    </font>
    <font>
      <sz val="16"/>
      <name val="TH SarabunPSK"/>
      <family val="2"/>
    </font>
    <font>
      <sz val="11"/>
      <color rgb="FF000000"/>
      <name val="Inconsolata"/>
    </font>
    <font>
      <u/>
      <sz val="14"/>
      <color rgb="FF1155CC"/>
      <name val="TH SarabunPSK"/>
      <family val="2"/>
    </font>
    <font>
      <u/>
      <sz val="14"/>
      <color rgb="FF1155CC"/>
      <name val="TH SarabunPSK"/>
      <family val="2"/>
    </font>
    <font>
      <b/>
      <sz val="10"/>
      <color rgb="FFD9EAD3"/>
      <name val="TH SarabunPSK"/>
      <family val="2"/>
    </font>
    <font>
      <u/>
      <sz val="14"/>
      <color rgb="FFFF0000"/>
      <name val="TH SarabunPSK"/>
      <family val="2"/>
    </font>
    <font>
      <sz val="10"/>
      <color rgb="FF000000"/>
      <name val="Arial"/>
      <family val="2"/>
    </font>
    <font>
      <sz val="12"/>
      <color theme="0"/>
      <name val="TH SarabunPSK"/>
      <family val="2"/>
    </font>
    <font>
      <sz val="12"/>
      <color rgb="FFFF0000"/>
      <name val="TH SarabunPSK"/>
      <family val="2"/>
    </font>
    <font>
      <sz val="12"/>
      <color theme="0"/>
      <name val="Arial"/>
      <family val="2"/>
    </font>
    <font>
      <sz val="10"/>
      <color rgb="FF000000"/>
      <name val="Arial"/>
      <family val="2"/>
    </font>
    <font>
      <sz val="18"/>
      <name val="TH Sarabun New"/>
      <family val="2"/>
    </font>
    <font>
      <sz val="18"/>
      <color rgb="FF000000"/>
      <name val="TH Sarabun New"/>
      <family val="2"/>
    </font>
    <font>
      <u/>
      <sz val="18"/>
      <color rgb="FF0000FF"/>
      <name val="TH Sarabun New"/>
      <family val="2"/>
    </font>
    <font>
      <sz val="18"/>
      <color rgb="FFFFFFFF"/>
      <name val="TH Sarabun New"/>
      <family val="2"/>
    </font>
    <font>
      <sz val="14"/>
      <name val="TH Sarabun New"/>
      <family val="2"/>
    </font>
    <font>
      <u/>
      <sz val="18"/>
      <color rgb="FF3838F0"/>
      <name val="TH Sarabun New"/>
      <family val="2"/>
    </font>
    <font>
      <sz val="16"/>
      <color rgb="FF000000"/>
      <name val="TH Sarabun New"/>
      <family val="2"/>
    </font>
    <font>
      <sz val="12"/>
      <name val="TH Sarabun New"/>
      <family val="2"/>
    </font>
    <font>
      <sz val="16"/>
      <name val="TH Sarabun New"/>
      <family val="2"/>
    </font>
    <font>
      <sz val="12"/>
      <color rgb="FF000000"/>
      <name val="TH Sarabun New"/>
      <family val="2"/>
    </font>
    <font>
      <sz val="12"/>
      <color rgb="FFFFFFFF"/>
      <name val="TH Sarabun New"/>
      <family val="2"/>
    </font>
    <font>
      <sz val="12"/>
      <color rgb="FF434343"/>
      <name val="TH Sarabun New"/>
      <family val="2"/>
    </font>
    <font>
      <u/>
      <sz val="10"/>
      <color theme="10"/>
      <name val="Arial"/>
      <family val="2"/>
    </font>
    <font>
      <sz val="14"/>
      <color rgb="FF000000"/>
      <name val="TH Sarabun New"/>
      <family val="2"/>
    </font>
    <font>
      <u/>
      <sz val="14"/>
      <color rgb="FF0000FF"/>
      <name val="TH Sarabun New"/>
      <family val="2"/>
    </font>
    <font>
      <u/>
      <sz val="14"/>
      <color theme="10"/>
      <name val="TH SarabunPSK"/>
      <family val="2"/>
    </font>
    <font>
      <u/>
      <sz val="14"/>
      <color rgb="FF3838F0"/>
      <name val="TH SarabunPSK"/>
      <family val="2"/>
    </font>
    <font>
      <sz val="12"/>
      <color rgb="FF000000"/>
      <name val="TH SarabunPSK"/>
      <family val="2"/>
    </font>
    <font>
      <sz val="16"/>
      <color rgb="FF000000"/>
      <name val="TH SarabunPSK"/>
      <family val="2"/>
    </font>
    <font>
      <sz val="10"/>
      <color rgb="FF000000"/>
      <name val="TH SarabunPSK"/>
      <family val="2"/>
    </font>
  </fonts>
  <fills count="55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0000"/>
        <bgColor rgb="FFFF0000"/>
      </patternFill>
    </fill>
    <fill>
      <patternFill patternType="solid">
        <fgColor rgb="FFC27BA0"/>
        <bgColor rgb="FFC27BA0"/>
      </patternFill>
    </fill>
    <fill>
      <patternFill patternType="solid">
        <fgColor rgb="FFFFD966"/>
        <bgColor rgb="FFFFD966"/>
      </patternFill>
    </fill>
    <fill>
      <patternFill patternType="solid">
        <fgColor rgb="FF0B5394"/>
        <bgColor rgb="FF0B5394"/>
      </patternFill>
    </fill>
    <fill>
      <patternFill patternType="solid">
        <fgColor rgb="FFFF9900"/>
        <bgColor rgb="FFFF9900"/>
      </patternFill>
    </fill>
    <fill>
      <patternFill patternType="solid">
        <fgColor rgb="FF93C47D"/>
        <bgColor rgb="FF93C47D"/>
      </patternFill>
    </fill>
    <fill>
      <patternFill patternType="solid">
        <fgColor rgb="FFF9CB9C"/>
        <bgColor rgb="FFF9CB9C"/>
      </patternFill>
    </fill>
    <fill>
      <patternFill patternType="solid">
        <fgColor rgb="FFD9EAD3"/>
        <bgColor rgb="FFD9EAD3"/>
      </patternFill>
    </fill>
    <fill>
      <patternFill patternType="solid">
        <fgColor rgb="FF000000"/>
        <bgColor rgb="FF000000"/>
      </patternFill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  <fill>
      <patternFill patternType="solid">
        <fgColor rgb="FF6FA8DC"/>
        <bgColor rgb="FF6FA8DC"/>
      </patternFill>
    </fill>
    <fill>
      <patternFill patternType="solid">
        <fgColor rgb="FFFFFF00"/>
        <bgColor rgb="FFFFFF00"/>
      </patternFill>
    </fill>
    <fill>
      <patternFill patternType="solid">
        <fgColor rgb="FFD5A6BD"/>
        <bgColor rgb="FFD5A6BD"/>
      </patternFill>
    </fill>
    <fill>
      <patternFill patternType="solid">
        <fgColor rgb="FF00FF00"/>
        <bgColor rgb="FF00FF00"/>
      </patternFill>
    </fill>
    <fill>
      <patternFill patternType="solid">
        <fgColor rgb="FFF3F3F3"/>
        <bgColor rgb="FFF3F3F3"/>
      </patternFill>
    </fill>
    <fill>
      <patternFill patternType="solid">
        <fgColor rgb="FF6AA84F"/>
        <bgColor rgb="FF6AA84F"/>
      </patternFill>
    </fill>
    <fill>
      <patternFill patternType="solid">
        <fgColor rgb="FF999999"/>
        <bgColor rgb="FF999999"/>
      </patternFill>
    </fill>
    <fill>
      <patternFill patternType="solid">
        <fgColor rgb="FFFCE5CD"/>
        <bgColor rgb="FFFCE5CD"/>
      </patternFill>
    </fill>
    <fill>
      <patternFill patternType="solid">
        <fgColor rgb="FFF6B26B"/>
        <bgColor rgb="FFF6B26B"/>
      </patternFill>
    </fill>
    <fill>
      <patternFill patternType="solid">
        <fgColor rgb="FFD9D9D9"/>
        <bgColor rgb="FFD9D9D9"/>
      </patternFill>
    </fill>
    <fill>
      <patternFill patternType="solid">
        <fgColor rgb="FFCFE2F3"/>
        <bgColor rgb="FFCFE2F3"/>
      </patternFill>
    </fill>
    <fill>
      <patternFill patternType="solid">
        <fgColor rgb="FFB7B7B7"/>
        <bgColor rgb="FFB7B7B7"/>
      </patternFill>
    </fill>
    <fill>
      <patternFill patternType="solid">
        <fgColor rgb="FFB6D7A8"/>
        <bgColor rgb="FFB6D7A8"/>
      </patternFill>
    </fill>
    <fill>
      <patternFill patternType="solid">
        <fgColor rgb="FF9FC5E8"/>
        <bgColor rgb="FF9FC5E8"/>
      </patternFill>
    </fill>
    <fill>
      <patternFill patternType="solid">
        <fgColor rgb="FFB45F06"/>
        <bgColor rgb="FFB45F06"/>
      </patternFill>
    </fill>
    <fill>
      <patternFill patternType="solid">
        <fgColor rgb="FFEFEFEF"/>
        <bgColor rgb="FFEFEFEF"/>
      </patternFill>
    </fill>
    <fill>
      <patternFill patternType="solid">
        <fgColor rgb="FFF4CCCC"/>
        <bgColor rgb="FFF4CCCC"/>
      </patternFill>
    </fill>
    <fill>
      <patternFill patternType="solid">
        <fgColor rgb="FFFFE599"/>
        <bgColor rgb="FFFFE599"/>
      </patternFill>
    </fill>
    <fill>
      <patternFill patternType="solid">
        <fgColor rgb="FF8E7CC3"/>
        <bgColor rgb="FF8E7CC3"/>
      </patternFill>
    </fill>
    <fill>
      <patternFill patternType="solid">
        <fgColor rgb="FFFF0000"/>
        <bgColor rgb="FFEAD1DC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FFFFFF"/>
      </patternFill>
    </fill>
    <fill>
      <patternFill patternType="solid">
        <fgColor rgb="FFFFC000"/>
        <bgColor rgb="FFEAD1DC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FFFF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AD1DC"/>
      </patternFill>
    </fill>
    <fill>
      <patternFill patternType="solid">
        <fgColor theme="0" tint="-0.249977111117893"/>
        <bgColor rgb="FFFF0000"/>
      </patternFill>
    </fill>
    <fill>
      <patternFill patternType="solid">
        <fgColor theme="0" tint="-0.249977111117893"/>
        <bgColor rgb="FFCCCCCC"/>
      </patternFill>
    </fill>
    <fill>
      <patternFill patternType="solid">
        <fgColor theme="0" tint="-0.249977111117893"/>
        <bgColor rgb="FFC27BA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rgb="FFEAD1D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1A8A7"/>
        <bgColor rgb="FFEAD1D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EA4A4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 style="medium">
        <color indexed="64"/>
      </right>
      <top style="medium">
        <color rgb="FFCCCCCC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/>
      <bottom/>
      <diagonal/>
    </border>
  </borders>
  <cellStyleXfs count="3">
    <xf numFmtId="0" fontId="0" fillId="0" borderId="0"/>
    <xf numFmtId="187" fontId="90" fillId="0" borderId="0" applyFont="0" applyFill="0" applyBorder="0" applyAlignment="0" applyProtection="0"/>
    <xf numFmtId="0" fontId="103" fillId="0" borderId="0" applyNumberFormat="0" applyFill="0" applyBorder="0" applyAlignment="0" applyProtection="0"/>
  </cellStyleXfs>
  <cellXfs count="68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1" fillId="4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1" fillId="5" borderId="0" xfId="0" applyNumberFormat="1" applyFont="1" applyFill="1" applyAlignment="1">
      <alignment horizontal="center" vertical="center" wrapText="1"/>
    </xf>
    <xf numFmtId="49" fontId="3" fillId="6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3" fontId="1" fillId="8" borderId="0" xfId="0" applyNumberFormat="1" applyFont="1" applyFill="1" applyAlignment="1">
      <alignment horizontal="center" vertical="center" wrapText="1"/>
    </xf>
    <xf numFmtId="49" fontId="2" fillId="5" borderId="0" xfId="0" applyNumberFormat="1" applyFont="1" applyFill="1" applyAlignment="1">
      <alignment horizontal="center" vertical="center" wrapText="1"/>
    </xf>
    <xf numFmtId="3" fontId="1" fillId="3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49" fontId="6" fillId="6" borderId="0" xfId="0" applyNumberFormat="1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49" fontId="1" fillId="10" borderId="0" xfId="0" applyNumberFormat="1" applyFont="1" applyFill="1" applyAlignment="1">
      <alignment horizontal="center" vertical="top" wrapText="1"/>
    </xf>
    <xf numFmtId="0" fontId="2" fillId="7" borderId="0" xfId="0" applyFont="1" applyFill="1" applyAlignment="1">
      <alignment horizontal="center" vertical="center" wrapText="1"/>
    </xf>
    <xf numFmtId="3" fontId="2" fillId="8" borderId="0" xfId="0" applyNumberFormat="1" applyFont="1" applyFill="1" applyAlignment="1">
      <alignment horizontal="center" vertical="center" wrapText="1"/>
    </xf>
    <xf numFmtId="0" fontId="1" fillId="12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3" fontId="2" fillId="3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7" fillId="3" borderId="0" xfId="0" applyFont="1" applyFill="1" applyAlignment="1">
      <alignment horizontal="center" vertical="center" wrapText="1"/>
    </xf>
    <xf numFmtId="3" fontId="1" fillId="0" borderId="0" xfId="0" applyNumberFormat="1" applyFont="1" applyAlignment="1">
      <alignment horizontal="center" vertical="top" wrapText="1"/>
    </xf>
    <xf numFmtId="3" fontId="1" fillId="0" borderId="0" xfId="0" applyNumberFormat="1" applyFont="1" applyAlignment="1">
      <alignment horizontal="center" vertical="top"/>
    </xf>
    <xf numFmtId="14" fontId="1" fillId="0" borderId="0" xfId="0" applyNumberFormat="1" applyFont="1" applyAlignment="1">
      <alignment horizontal="center" vertical="top"/>
    </xf>
    <xf numFmtId="3" fontId="1" fillId="12" borderId="0" xfId="0" applyNumberFormat="1" applyFont="1" applyFill="1" applyAlignment="1">
      <alignment horizontal="center" vertical="top"/>
    </xf>
    <xf numFmtId="3" fontId="1" fillId="13" borderId="0" xfId="0" applyNumberFormat="1" applyFont="1" applyFill="1" applyAlignment="1">
      <alignment vertical="top"/>
    </xf>
    <xf numFmtId="3" fontId="1" fillId="14" borderId="0" xfId="0" applyNumberFormat="1" applyFont="1" applyFill="1" applyAlignment="1">
      <alignment vertical="top"/>
    </xf>
    <xf numFmtId="0" fontId="8" fillId="10" borderId="0" xfId="0" applyFont="1" applyFill="1" applyAlignment="1">
      <alignment horizontal="center" vertical="top" wrapText="1"/>
    </xf>
    <xf numFmtId="0" fontId="2" fillId="9" borderId="0" xfId="0" applyFont="1" applyFill="1" applyAlignment="1">
      <alignment horizontal="center" vertical="center" wrapText="1"/>
    </xf>
    <xf numFmtId="0" fontId="9" fillId="10" borderId="0" xfId="0" applyFont="1" applyFill="1" applyAlignment="1">
      <alignment horizontal="center" vertical="top"/>
    </xf>
    <xf numFmtId="49" fontId="2" fillId="11" borderId="0" xfId="0" applyNumberFormat="1" applyFont="1" applyFill="1" applyAlignment="1">
      <alignment horizontal="center" vertical="top" wrapText="1"/>
    </xf>
    <xf numFmtId="3" fontId="10" fillId="12" borderId="0" xfId="0" applyNumberFormat="1" applyFont="1" applyFill="1" applyAlignment="1">
      <alignment horizontal="center" vertical="top"/>
    </xf>
    <xf numFmtId="0" fontId="6" fillId="11" borderId="0" xfId="0" applyFont="1" applyFill="1" applyAlignment="1">
      <alignment horizontal="center" vertical="top"/>
    </xf>
    <xf numFmtId="0" fontId="2" fillId="11" borderId="0" xfId="0" applyFont="1" applyFill="1" applyAlignment="1">
      <alignment horizontal="center" vertical="top"/>
    </xf>
    <xf numFmtId="0" fontId="5" fillId="16" borderId="0" xfId="0" applyFont="1" applyFill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11" borderId="0" xfId="0" applyFont="1" applyFill="1" applyAlignment="1">
      <alignment vertical="top"/>
    </xf>
    <xf numFmtId="0" fontId="2" fillId="11" borderId="0" xfId="0" applyFont="1" applyFill="1" applyAlignment="1">
      <alignment horizontal="right" vertical="top"/>
    </xf>
    <xf numFmtId="0" fontId="2" fillId="11" borderId="0" xfId="0" applyFont="1" applyFill="1" applyAlignment="1">
      <alignment vertical="top" wrapText="1"/>
    </xf>
    <xf numFmtId="49" fontId="1" fillId="15" borderId="0" xfId="0" applyNumberFormat="1" applyFont="1" applyFill="1" applyAlignment="1">
      <alignment horizontal="center" vertical="top"/>
    </xf>
    <xf numFmtId="0" fontId="6" fillId="11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right" vertical="top"/>
    </xf>
    <xf numFmtId="3" fontId="11" fillId="17" borderId="0" xfId="0" applyNumberFormat="1" applyFont="1" applyFill="1" applyAlignment="1">
      <alignment horizontal="center" vertical="top" wrapText="1"/>
    </xf>
    <xf numFmtId="49" fontId="12" fillId="7" borderId="0" xfId="0" applyNumberFormat="1" applyFont="1" applyFill="1" applyAlignment="1">
      <alignment horizontal="center" vertical="top"/>
    </xf>
    <xf numFmtId="49" fontId="2" fillId="10" borderId="0" xfId="0" applyNumberFormat="1" applyFont="1" applyFill="1" applyAlignment="1">
      <alignment horizontal="center" vertical="top" wrapText="1"/>
    </xf>
    <xf numFmtId="49" fontId="13" fillId="14" borderId="0" xfId="0" applyNumberFormat="1" applyFont="1" applyFill="1" applyAlignment="1">
      <alignment horizontal="center" vertical="top"/>
    </xf>
    <xf numFmtId="0" fontId="2" fillId="12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3" fontId="14" fillId="12" borderId="0" xfId="0" applyNumberFormat="1" applyFont="1" applyFill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horizontal="right" vertical="top"/>
    </xf>
    <xf numFmtId="14" fontId="2" fillId="0" borderId="0" xfId="0" applyNumberFormat="1" applyFont="1" applyAlignment="1">
      <alignment horizontal="center" vertical="top"/>
    </xf>
    <xf numFmtId="3" fontId="15" fillId="12" borderId="0" xfId="0" applyNumberFormat="1" applyFont="1" applyFill="1" applyAlignment="1">
      <alignment horizontal="center" vertical="top" wrapText="1"/>
    </xf>
    <xf numFmtId="3" fontId="2" fillId="13" borderId="0" xfId="0" applyNumberFormat="1" applyFont="1" applyFill="1" applyAlignment="1">
      <alignment horizontal="center" vertical="top"/>
    </xf>
    <xf numFmtId="3" fontId="2" fillId="14" borderId="0" xfId="0" applyNumberFormat="1" applyFont="1" applyFill="1" applyAlignment="1">
      <alignment horizontal="center" vertical="top"/>
    </xf>
    <xf numFmtId="0" fontId="1" fillId="13" borderId="0" xfId="0" applyFont="1" applyFill="1" applyAlignment="1">
      <alignment horizontal="center" vertical="top"/>
    </xf>
    <xf numFmtId="0" fontId="2" fillId="0" borderId="0" xfId="0" applyFont="1" applyAlignment="1">
      <alignment vertical="top"/>
    </xf>
    <xf numFmtId="0" fontId="16" fillId="10" borderId="0" xfId="0" applyFont="1" applyFill="1" applyAlignment="1">
      <alignment horizontal="center" vertical="top" wrapText="1"/>
    </xf>
    <xf numFmtId="0" fontId="1" fillId="15" borderId="0" xfId="0" applyFont="1" applyFill="1" applyAlignment="1">
      <alignment horizontal="center" vertical="top"/>
    </xf>
    <xf numFmtId="0" fontId="16" fillId="10" borderId="0" xfId="0" applyFont="1" applyFill="1" applyAlignment="1">
      <alignment horizontal="center" vertical="top"/>
    </xf>
    <xf numFmtId="3" fontId="17" fillId="12" borderId="0" xfId="0" applyNumberFormat="1" applyFont="1" applyFill="1" applyAlignment="1">
      <alignment horizontal="center" vertical="top"/>
    </xf>
    <xf numFmtId="0" fontId="7" fillId="16" borderId="0" xfId="0" applyFont="1" applyFill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" fillId="12" borderId="0" xfId="0" applyFont="1" applyFill="1" applyAlignment="1">
      <alignment horizontal="center" vertical="top" wrapText="1"/>
    </xf>
    <xf numFmtId="0" fontId="1" fillId="15" borderId="0" xfId="0" applyFont="1" applyFill="1" applyAlignment="1">
      <alignment horizontal="center" vertical="top" wrapText="1"/>
    </xf>
    <xf numFmtId="0" fontId="1" fillId="13" borderId="0" xfId="0" applyFont="1" applyFill="1" applyAlignment="1">
      <alignment horizontal="center" vertical="top" wrapText="1"/>
    </xf>
    <xf numFmtId="0" fontId="1" fillId="13" borderId="0" xfId="0" applyFont="1" applyFill="1" applyAlignment="1">
      <alignment horizontal="left" vertical="top" wrapText="1"/>
    </xf>
    <xf numFmtId="3" fontId="1" fillId="13" borderId="0" xfId="0" applyNumberFormat="1" applyFont="1" applyFill="1" applyAlignment="1">
      <alignment horizontal="center" vertical="top" wrapText="1"/>
    </xf>
    <xf numFmtId="3" fontId="1" fillId="13" borderId="0" xfId="0" applyNumberFormat="1" applyFont="1" applyFill="1" applyAlignment="1">
      <alignment horizontal="right" vertical="top" wrapText="1"/>
    </xf>
    <xf numFmtId="14" fontId="1" fillId="13" borderId="0" xfId="0" applyNumberFormat="1" applyFont="1" applyFill="1" applyAlignment="1">
      <alignment horizontal="center" vertical="top" wrapText="1"/>
    </xf>
    <xf numFmtId="49" fontId="18" fillId="7" borderId="0" xfId="0" applyNumberFormat="1" applyFont="1" applyFill="1" applyAlignment="1">
      <alignment horizontal="center" vertical="top" wrapText="1"/>
    </xf>
    <xf numFmtId="49" fontId="19" fillId="14" borderId="0" xfId="0" applyNumberFormat="1" applyFont="1" applyFill="1" applyAlignment="1">
      <alignment horizontal="center" vertical="top" wrapText="1"/>
    </xf>
    <xf numFmtId="3" fontId="20" fillId="13" borderId="0" xfId="0" applyNumberFormat="1" applyFont="1" applyFill="1" applyAlignment="1">
      <alignment horizontal="center" vertical="top"/>
    </xf>
    <xf numFmtId="49" fontId="21" fillId="7" borderId="0" xfId="0" applyNumberFormat="1" applyFont="1" applyFill="1" applyAlignment="1">
      <alignment horizontal="center" vertical="top"/>
    </xf>
    <xf numFmtId="49" fontId="22" fillId="14" borderId="0" xfId="0" applyNumberFormat="1" applyFont="1" applyFill="1" applyAlignment="1">
      <alignment horizontal="center" vertical="top"/>
    </xf>
    <xf numFmtId="49" fontId="9" fillId="10" borderId="0" xfId="0" applyNumberFormat="1" applyFont="1" applyFill="1" applyAlignment="1">
      <alignment horizontal="center" vertical="top"/>
    </xf>
    <xf numFmtId="14" fontId="1" fillId="13" borderId="0" xfId="0" applyNumberFormat="1" applyFont="1" applyFill="1" applyAlignment="1">
      <alignment horizontal="center" vertical="top"/>
    </xf>
    <xf numFmtId="3" fontId="1" fillId="13" borderId="0" xfId="0" applyNumberFormat="1" applyFont="1" applyFill="1" applyAlignment="1">
      <alignment horizontal="right" vertical="top"/>
    </xf>
    <xf numFmtId="0" fontId="24" fillId="0" borderId="0" xfId="0" applyFont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49" fontId="1" fillId="0" borderId="0" xfId="0" applyNumberFormat="1" applyFont="1" applyAlignment="1">
      <alignment horizontal="center" vertical="top" wrapText="1"/>
    </xf>
    <xf numFmtId="0" fontId="25" fillId="11" borderId="0" xfId="0" applyFont="1" applyFill="1"/>
    <xf numFmtId="0" fontId="6" fillId="11" borderId="0" xfId="0" applyFont="1" applyFill="1" applyAlignment="1">
      <alignment horizontal="right" vertical="top"/>
    </xf>
    <xf numFmtId="0" fontId="6" fillId="11" borderId="0" xfId="0" applyFont="1" applyFill="1" applyAlignment="1">
      <alignment vertical="top"/>
    </xf>
    <xf numFmtId="49" fontId="26" fillId="7" borderId="0" xfId="0" applyNumberFormat="1" applyFont="1" applyFill="1" applyAlignment="1">
      <alignment horizontal="center" vertical="top"/>
    </xf>
    <xf numFmtId="188" fontId="1" fillId="0" borderId="0" xfId="0" applyNumberFormat="1" applyFont="1" applyAlignment="1">
      <alignment horizontal="left" vertical="top" wrapText="1"/>
    </xf>
    <xf numFmtId="0" fontId="27" fillId="0" borderId="0" xfId="0" applyFont="1"/>
    <xf numFmtId="0" fontId="28" fillId="0" borderId="0" xfId="0" applyFont="1" applyAlignment="1">
      <alignment horizontal="left" vertical="top" wrapText="1"/>
    </xf>
    <xf numFmtId="0" fontId="29" fillId="16" borderId="0" xfId="0" applyFont="1" applyFill="1" applyAlignment="1">
      <alignment horizontal="center" vertical="top"/>
    </xf>
    <xf numFmtId="0" fontId="25" fillId="11" borderId="0" xfId="0" applyFont="1" applyFill="1" applyAlignment="1">
      <alignment horizontal="center"/>
    </xf>
    <xf numFmtId="0" fontId="27" fillId="11" borderId="0" xfId="0" applyFont="1" applyFill="1"/>
    <xf numFmtId="0" fontId="1" fillId="1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3" fontId="2" fillId="12" borderId="0" xfId="0" applyNumberFormat="1" applyFont="1" applyFill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49" fontId="30" fillId="7" borderId="0" xfId="0" applyNumberFormat="1" applyFont="1" applyFill="1" applyAlignment="1">
      <alignment horizontal="center" vertical="top"/>
    </xf>
    <xf numFmtId="49" fontId="31" fillId="14" borderId="0" xfId="0" applyNumberFormat="1" applyFont="1" applyFill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49" fontId="32" fillId="14" borderId="0" xfId="0" applyNumberFormat="1" applyFont="1" applyFill="1" applyAlignment="1">
      <alignment horizontal="center" vertical="top"/>
    </xf>
    <xf numFmtId="49" fontId="16" fillId="10" borderId="0" xfId="0" applyNumberFormat="1" applyFont="1" applyFill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33" fillId="0" borderId="1" xfId="0" applyFont="1" applyBorder="1" applyAlignment="1">
      <alignment horizontal="left"/>
    </xf>
    <xf numFmtId="0" fontId="34" fillId="0" borderId="0" xfId="0" applyFont="1" applyAlignment="1">
      <alignment vertical="top"/>
    </xf>
    <xf numFmtId="0" fontId="1" fillId="20" borderId="0" xfId="0" applyFont="1" applyFill="1" applyAlignment="1">
      <alignment horizontal="center" vertical="center" wrapText="1"/>
    </xf>
    <xf numFmtId="3" fontId="2" fillId="20" borderId="0" xfId="0" applyNumberFormat="1" applyFont="1" applyFill="1" applyAlignment="1">
      <alignment horizontal="center" vertical="center" wrapText="1"/>
    </xf>
    <xf numFmtId="3" fontId="1" fillId="20" borderId="0" xfId="0" applyNumberFormat="1" applyFont="1" applyFill="1" applyAlignment="1">
      <alignment horizontal="center" vertical="center" wrapText="1"/>
    </xf>
    <xf numFmtId="49" fontId="1" fillId="20" borderId="0" xfId="0" applyNumberFormat="1" applyFont="1" applyFill="1" applyAlignment="1">
      <alignment horizontal="center" vertical="center" wrapText="1"/>
    </xf>
    <xf numFmtId="0" fontId="4" fillId="2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right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14" fontId="1" fillId="0" borderId="0" xfId="0" applyNumberFormat="1" applyFont="1" applyAlignment="1">
      <alignment horizontal="center" vertical="top" wrapText="1"/>
    </xf>
    <xf numFmtId="3" fontId="35" fillId="0" borderId="0" xfId="0" applyNumberFormat="1" applyFont="1" applyAlignment="1">
      <alignment horizontal="center" vertical="top" wrapText="1"/>
    </xf>
    <xf numFmtId="49" fontId="36" fillId="0" borderId="0" xfId="0" applyNumberFormat="1" applyFont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49" fontId="38" fillId="14" borderId="0" xfId="0" applyNumberFormat="1" applyFont="1" applyFill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3" fontId="10" fillId="0" borderId="0" xfId="0" applyNumberFormat="1" applyFont="1" applyAlignment="1">
      <alignment horizontal="center" vertical="top" wrapText="1"/>
    </xf>
    <xf numFmtId="3" fontId="39" fillId="0" borderId="0" xfId="0" applyNumberFormat="1" applyFont="1" applyAlignment="1">
      <alignment horizontal="center" vertical="top" wrapText="1"/>
    </xf>
    <xf numFmtId="3" fontId="40" fillId="0" borderId="0" xfId="0" applyNumberFormat="1" applyFont="1" applyAlignment="1">
      <alignment horizontal="center" vertical="top" wrapText="1"/>
    </xf>
    <xf numFmtId="49" fontId="41" fillId="0" borderId="0" xfId="0" applyNumberFormat="1" applyFont="1" applyAlignment="1">
      <alignment horizontal="center" vertical="top" wrapText="1"/>
    </xf>
    <xf numFmtId="49" fontId="42" fillId="0" borderId="0" xfId="0" applyNumberFormat="1" applyFont="1" applyAlignment="1">
      <alignment horizontal="center" vertical="top" wrapText="1"/>
    </xf>
    <xf numFmtId="49" fontId="43" fillId="0" borderId="0" xfId="0" applyNumberFormat="1" applyFont="1" applyAlignment="1">
      <alignment horizontal="center" vertical="top" wrapText="1"/>
    </xf>
    <xf numFmtId="49" fontId="10" fillId="0" borderId="0" xfId="0" applyNumberFormat="1" applyFont="1" applyAlignment="1">
      <alignment horizontal="center" vertical="top" wrapText="1"/>
    </xf>
    <xf numFmtId="0" fontId="33" fillId="0" borderId="0" xfId="0" applyFont="1" applyAlignment="1">
      <alignment horizontal="left" wrapText="1"/>
    </xf>
    <xf numFmtId="49" fontId="44" fillId="7" borderId="0" xfId="0" applyNumberFormat="1" applyFont="1" applyFill="1" applyAlignment="1">
      <alignment horizontal="center" vertical="top"/>
    </xf>
    <xf numFmtId="49" fontId="45" fillId="14" borderId="0" xfId="0" applyNumberFormat="1" applyFont="1" applyFill="1" applyAlignment="1">
      <alignment horizontal="center" vertical="top"/>
    </xf>
    <xf numFmtId="14" fontId="34" fillId="0" borderId="0" xfId="0" applyNumberFormat="1" applyFont="1" applyAlignment="1">
      <alignment vertical="top" wrapText="1"/>
    </xf>
    <xf numFmtId="3" fontId="46" fillId="0" borderId="0" xfId="0" applyNumberFormat="1" applyFont="1" applyAlignment="1">
      <alignment horizontal="center" vertical="top" wrapText="1"/>
    </xf>
    <xf numFmtId="49" fontId="34" fillId="0" borderId="0" xfId="0" applyNumberFormat="1" applyFont="1" applyAlignment="1">
      <alignment vertical="top" wrapText="1"/>
    </xf>
    <xf numFmtId="0" fontId="34" fillId="0" borderId="0" xfId="0" applyFont="1" applyAlignment="1">
      <alignment vertical="top" wrapText="1"/>
    </xf>
    <xf numFmtId="3" fontId="34" fillId="0" borderId="0" xfId="0" applyNumberFormat="1" applyFont="1" applyAlignment="1">
      <alignment vertical="top" wrapText="1"/>
    </xf>
    <xf numFmtId="14" fontId="1" fillId="0" borderId="2" xfId="0" applyNumberFormat="1" applyFont="1" applyBorder="1" applyAlignment="1">
      <alignment horizontal="center" vertical="top" wrapText="1"/>
    </xf>
    <xf numFmtId="3" fontId="47" fillId="0" borderId="2" xfId="0" applyNumberFormat="1" applyFont="1" applyBorder="1" applyAlignment="1">
      <alignment horizontal="center" vertical="top" wrapText="1"/>
    </xf>
    <xf numFmtId="49" fontId="48" fillId="0" borderId="0" xfId="0" applyNumberFormat="1" applyFont="1" applyAlignment="1">
      <alignment horizontal="center" vertical="top" wrapText="1"/>
    </xf>
    <xf numFmtId="49" fontId="49" fillId="0" borderId="0" xfId="0" applyNumberFormat="1" applyFont="1" applyAlignment="1">
      <alignment horizontal="center" vertical="top" wrapText="1"/>
    </xf>
    <xf numFmtId="189" fontId="1" fillId="0" borderId="0" xfId="0" applyNumberFormat="1" applyFont="1" applyAlignment="1">
      <alignment horizontal="center" vertical="top" wrapText="1"/>
    </xf>
    <xf numFmtId="3" fontId="1" fillId="7" borderId="0" xfId="0" applyNumberFormat="1" applyFont="1" applyFill="1" applyAlignment="1">
      <alignment vertical="top"/>
    </xf>
    <xf numFmtId="0" fontId="34" fillId="0" borderId="0" xfId="0" applyFont="1" applyAlignment="1">
      <alignment wrapText="1"/>
    </xf>
    <xf numFmtId="0" fontId="33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vertical="top" wrapText="1"/>
    </xf>
    <xf numFmtId="0" fontId="51" fillId="0" borderId="0" xfId="0" applyFont="1" applyAlignment="1">
      <alignment vertical="top"/>
    </xf>
    <xf numFmtId="190" fontId="1" fillId="0" borderId="0" xfId="0" applyNumberFormat="1" applyFont="1" applyAlignment="1">
      <alignment horizontal="center" vertical="top" wrapText="1"/>
    </xf>
    <xf numFmtId="0" fontId="51" fillId="0" borderId="0" xfId="0" applyFont="1" applyAlignment="1">
      <alignment vertical="top" wrapText="1"/>
    </xf>
    <xf numFmtId="3" fontId="52" fillId="0" borderId="0" xfId="0" applyNumberFormat="1" applyFont="1" applyAlignment="1">
      <alignment horizontal="center" vertical="top" wrapText="1"/>
    </xf>
    <xf numFmtId="14" fontId="34" fillId="0" borderId="0" xfId="0" applyNumberFormat="1" applyFont="1" applyAlignment="1">
      <alignment vertical="top"/>
    </xf>
    <xf numFmtId="3" fontId="1" fillId="0" borderId="1" xfId="0" applyNumberFormat="1" applyFont="1" applyBorder="1" applyAlignment="1">
      <alignment vertical="top" wrapText="1"/>
    </xf>
    <xf numFmtId="0" fontId="53" fillId="12" borderId="0" xfId="0" applyFont="1" applyFill="1" applyAlignment="1">
      <alignment horizontal="center" vertical="center"/>
    </xf>
    <xf numFmtId="0" fontId="54" fillId="12" borderId="1" xfId="0" applyFont="1" applyFill="1" applyBorder="1" applyAlignment="1">
      <alignment horizontal="center" vertical="center"/>
    </xf>
    <xf numFmtId="0" fontId="54" fillId="12" borderId="1" xfId="0" applyFont="1" applyFill="1" applyBorder="1" applyAlignment="1">
      <alignment horizontal="center" vertical="center" wrapText="1"/>
    </xf>
    <xf numFmtId="14" fontId="54" fillId="12" borderId="1" xfId="0" applyNumberFormat="1" applyFont="1" applyFill="1" applyBorder="1" applyAlignment="1">
      <alignment horizontal="center" vertical="center"/>
    </xf>
    <xf numFmtId="3" fontId="55" fillId="12" borderId="0" xfId="0" applyNumberFormat="1" applyFont="1" applyFill="1" applyAlignment="1">
      <alignment horizontal="center" vertical="center" wrapText="1"/>
    </xf>
    <xf numFmtId="49" fontId="56" fillId="10" borderId="0" xfId="0" applyNumberFormat="1" applyFont="1" applyFill="1" applyAlignment="1">
      <alignment vertical="top"/>
    </xf>
    <xf numFmtId="0" fontId="51" fillId="0" borderId="1" xfId="0" applyFont="1" applyBorder="1" applyAlignment="1">
      <alignment horizontal="center" vertical="top"/>
    </xf>
    <xf numFmtId="49" fontId="51" fillId="0" borderId="1" xfId="0" applyNumberFormat="1" applyFont="1" applyBorder="1" applyAlignment="1">
      <alignment horizontal="center" vertical="top"/>
    </xf>
    <xf numFmtId="0" fontId="57" fillId="0" borderId="1" xfId="0" applyFont="1" applyBorder="1" applyAlignment="1">
      <alignment vertical="top" wrapText="1"/>
    </xf>
    <xf numFmtId="3" fontId="51" fillId="0" borderId="1" xfId="0" applyNumberFormat="1" applyFont="1" applyBorder="1" applyAlignment="1">
      <alignment horizontal="center" vertical="top"/>
    </xf>
    <xf numFmtId="3" fontId="51" fillId="0" borderId="1" xfId="0" applyNumberFormat="1" applyFont="1" applyBorder="1" applyAlignment="1">
      <alignment horizontal="right" vertical="top"/>
    </xf>
    <xf numFmtId="14" fontId="51" fillId="0" borderId="1" xfId="0" applyNumberFormat="1" applyFont="1" applyBorder="1" applyAlignment="1">
      <alignment horizontal="center" vertical="top"/>
    </xf>
    <xf numFmtId="3" fontId="51" fillId="0" borderId="1" xfId="0" applyNumberFormat="1" applyFont="1" applyBorder="1" applyAlignment="1">
      <alignment vertical="top"/>
    </xf>
    <xf numFmtId="49" fontId="51" fillId="0" borderId="1" xfId="0" applyNumberFormat="1" applyFont="1" applyBorder="1" applyAlignment="1">
      <alignment vertical="top"/>
    </xf>
    <xf numFmtId="3" fontId="51" fillId="0" borderId="1" xfId="0" applyNumberFormat="1" applyFont="1" applyBorder="1" applyAlignment="1">
      <alignment vertical="top" wrapText="1"/>
    </xf>
    <xf numFmtId="0" fontId="51" fillId="0" borderId="1" xfId="0" applyFont="1" applyBorder="1" applyAlignment="1">
      <alignment horizontal="center" vertical="top" wrapText="1"/>
    </xf>
    <xf numFmtId="0" fontId="51" fillId="0" borderId="1" xfId="0" applyFont="1" applyBorder="1" applyAlignment="1">
      <alignment vertical="top"/>
    </xf>
    <xf numFmtId="49" fontId="51" fillId="15" borderId="0" xfId="0" applyNumberFormat="1" applyFont="1" applyFill="1" applyAlignment="1">
      <alignment horizontal="center" vertical="top"/>
    </xf>
    <xf numFmtId="49" fontId="51" fillId="0" borderId="0" xfId="0" applyNumberFormat="1" applyFont="1" applyAlignment="1">
      <alignment vertical="top"/>
    </xf>
    <xf numFmtId="0" fontId="57" fillId="0" borderId="0" xfId="0" applyFont="1" applyAlignment="1">
      <alignment vertical="top" wrapText="1"/>
    </xf>
    <xf numFmtId="3" fontId="51" fillId="0" borderId="0" xfId="0" applyNumberFormat="1" applyFont="1" applyAlignment="1">
      <alignment horizontal="center" vertical="top"/>
    </xf>
    <xf numFmtId="3" fontId="51" fillId="0" borderId="0" xfId="0" applyNumberFormat="1" applyFont="1" applyAlignment="1">
      <alignment horizontal="right" vertical="top"/>
    </xf>
    <xf numFmtId="14" fontId="51" fillId="0" borderId="0" xfId="0" applyNumberFormat="1" applyFont="1" applyAlignment="1">
      <alignment horizontal="center" vertical="top"/>
    </xf>
    <xf numFmtId="3" fontId="51" fillId="0" borderId="0" xfId="0" applyNumberFormat="1" applyFont="1" applyAlignment="1">
      <alignment vertical="top"/>
    </xf>
    <xf numFmtId="3" fontId="51" fillId="0" borderId="0" xfId="0" applyNumberFormat="1" applyFont="1" applyAlignment="1">
      <alignment vertical="top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top"/>
    </xf>
    <xf numFmtId="0" fontId="59" fillId="9" borderId="6" xfId="0" applyFont="1" applyFill="1" applyBorder="1"/>
    <xf numFmtId="0" fontId="58" fillId="9" borderId="9" xfId="0" applyFont="1" applyFill="1" applyBorder="1" applyAlignment="1">
      <alignment horizontal="center"/>
    </xf>
    <xf numFmtId="0" fontId="58" fillId="9" borderId="10" xfId="0" applyFont="1" applyFill="1" applyBorder="1" applyAlignment="1">
      <alignment horizontal="center"/>
    </xf>
    <xf numFmtId="0" fontId="58" fillId="9" borderId="11" xfId="0" applyFont="1" applyFill="1" applyBorder="1" applyAlignment="1">
      <alignment horizontal="center"/>
    </xf>
    <xf numFmtId="0" fontId="51" fillId="22" borderId="10" xfId="0" applyFont="1" applyFill="1" applyBorder="1"/>
    <xf numFmtId="0" fontId="51" fillId="22" borderId="11" xfId="0" applyFont="1" applyFill="1" applyBorder="1" applyAlignment="1">
      <alignment horizontal="right"/>
    </xf>
    <xf numFmtId="0" fontId="58" fillId="22" borderId="6" xfId="0" applyFont="1" applyFill="1" applyBorder="1" applyAlignment="1">
      <alignment horizontal="center"/>
    </xf>
    <xf numFmtId="0" fontId="58" fillId="15" borderId="0" xfId="0" applyFont="1" applyFill="1" applyAlignment="1">
      <alignment horizontal="center" vertical="top" wrapText="1"/>
    </xf>
    <xf numFmtId="0" fontId="63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191" fontId="63" fillId="0" borderId="1" xfId="0" applyNumberFormat="1" applyFont="1" applyBorder="1" applyAlignment="1">
      <alignment wrapText="1"/>
    </xf>
    <xf numFmtId="0" fontId="63" fillId="0" borderId="1" xfId="0" applyFont="1" applyBorder="1" applyAlignment="1">
      <alignment wrapText="1"/>
    </xf>
    <xf numFmtId="0" fontId="63" fillId="0" borderId="0" xfId="0" applyFont="1"/>
    <xf numFmtId="0" fontId="64" fillId="19" borderId="0" xfId="0" applyFont="1" applyFill="1" applyAlignment="1">
      <alignment horizontal="center" vertical="top" wrapText="1"/>
    </xf>
    <xf numFmtId="0" fontId="65" fillId="24" borderId="0" xfId="0" applyFont="1" applyFill="1" applyAlignment="1">
      <alignment horizontal="center" vertical="top"/>
    </xf>
    <xf numFmtId="0" fontId="66" fillId="24" borderId="0" xfId="0" applyFont="1" applyFill="1" applyAlignment="1">
      <alignment vertical="top" wrapText="1"/>
    </xf>
    <xf numFmtId="0" fontId="66" fillId="24" borderId="0" xfId="0" applyFont="1" applyFill="1" applyAlignment="1">
      <alignment horizontal="center" vertical="top" wrapText="1"/>
    </xf>
    <xf numFmtId="0" fontId="65" fillId="24" borderId="0" xfId="0" applyFont="1" applyFill="1" applyAlignment="1">
      <alignment horizontal="center"/>
    </xf>
    <xf numFmtId="0" fontId="64" fillId="0" borderId="0" xfId="0" applyFont="1" applyAlignment="1">
      <alignment horizontal="center" vertical="top" wrapText="1"/>
    </xf>
    <xf numFmtId="0" fontId="66" fillId="0" borderId="0" xfId="0" applyFont="1" applyAlignment="1">
      <alignment horizontal="center" vertical="top" wrapText="1"/>
    </xf>
    <xf numFmtId="0" fontId="66" fillId="0" borderId="0" xfId="0" applyFont="1" applyAlignment="1">
      <alignment vertical="top" wrapText="1"/>
    </xf>
    <xf numFmtId="0" fontId="64" fillId="18" borderId="0" xfId="0" applyFont="1" applyFill="1" applyAlignment="1">
      <alignment horizontal="center" vertical="top" wrapText="1"/>
    </xf>
    <xf numFmtId="0" fontId="66" fillId="18" borderId="0" xfId="0" applyFont="1" applyFill="1" applyAlignment="1">
      <alignment horizontal="center" vertical="top" wrapText="1"/>
    </xf>
    <xf numFmtId="0" fontId="66" fillId="18" borderId="0" xfId="0" applyFont="1" applyFill="1" applyAlignment="1">
      <alignment vertical="top" wrapText="1"/>
    </xf>
    <xf numFmtId="0" fontId="51" fillId="0" borderId="0" xfId="0" applyFont="1" applyAlignment="1">
      <alignment wrapText="1"/>
    </xf>
    <xf numFmtId="0" fontId="57" fillId="25" borderId="0" xfId="0" applyFont="1" applyFill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0" xfId="0" applyFont="1"/>
    <xf numFmtId="10" fontId="51" fillId="0" borderId="0" xfId="0" applyNumberFormat="1" applyFont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right" vertical="center"/>
    </xf>
    <xf numFmtId="0" fontId="69" fillId="3" borderId="0" xfId="0" applyFont="1" applyFill="1" applyAlignment="1">
      <alignment horizontal="center" vertical="center" wrapText="1"/>
    </xf>
    <xf numFmtId="49" fontId="1" fillId="26" borderId="0" xfId="0" applyNumberFormat="1" applyFont="1" applyFill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49" fontId="1" fillId="27" borderId="0" xfId="0" applyNumberFormat="1" applyFont="1" applyFill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49" fontId="60" fillId="9" borderId="8" xfId="0" applyNumberFormat="1" applyFont="1" applyFill="1" applyBorder="1" applyAlignment="1">
      <alignment horizontal="center" wrapText="1"/>
    </xf>
    <xf numFmtId="49" fontId="53" fillId="7" borderId="0" xfId="0" applyNumberFormat="1" applyFont="1" applyFill="1" applyAlignment="1">
      <alignment horizontal="center" vertical="center" wrapText="1"/>
    </xf>
    <xf numFmtId="0" fontId="6" fillId="28" borderId="0" xfId="0" applyFont="1" applyFill="1" applyAlignment="1">
      <alignment horizontal="center" vertical="center" wrapText="1"/>
    </xf>
    <xf numFmtId="49" fontId="70" fillId="7" borderId="0" xfId="0" applyNumberFormat="1" applyFont="1" applyFill="1" applyAlignment="1">
      <alignment horizontal="center" vertical="center" wrapText="1"/>
    </xf>
    <xf numFmtId="0" fontId="53" fillId="23" borderId="1" xfId="0" applyFont="1" applyFill="1" applyBorder="1" applyAlignment="1">
      <alignment horizontal="center" vertical="center" wrapText="1"/>
    </xf>
    <xf numFmtId="0" fontId="51" fillId="23" borderId="0" xfId="0" applyFont="1" applyFill="1" applyAlignment="1">
      <alignment horizontal="center"/>
    </xf>
    <xf numFmtId="3" fontId="71" fillId="17" borderId="0" xfId="0" applyNumberFormat="1" applyFont="1" applyFill="1" applyAlignment="1">
      <alignment horizontal="center" vertical="top"/>
    </xf>
    <xf numFmtId="49" fontId="53" fillId="23" borderId="1" xfId="0" applyNumberFormat="1" applyFont="1" applyFill="1" applyBorder="1" applyAlignment="1">
      <alignment horizontal="center" vertical="center" wrapText="1"/>
    </xf>
    <xf numFmtId="0" fontId="51" fillId="23" borderId="0" xfId="0" applyFont="1" applyFill="1"/>
    <xf numFmtId="49" fontId="70" fillId="23" borderId="1" xfId="0" applyNumberFormat="1" applyFont="1" applyFill="1" applyBorder="1" applyAlignment="1">
      <alignment horizontal="center" vertical="center" wrapText="1"/>
    </xf>
    <xf numFmtId="0" fontId="72" fillId="0" borderId="1" xfId="0" applyFont="1" applyBorder="1" applyAlignment="1">
      <alignment horizontal="center" vertical="center" wrapText="1"/>
    </xf>
    <xf numFmtId="0" fontId="72" fillId="0" borderId="1" xfId="0" applyFont="1" applyBorder="1" applyAlignment="1">
      <alignment horizontal="left" vertical="center" wrapText="1"/>
    </xf>
    <xf numFmtId="49" fontId="72" fillId="0" borderId="1" xfId="0" applyNumberFormat="1" applyFont="1" applyBorder="1" applyAlignment="1">
      <alignment horizontal="center" vertical="center" wrapText="1"/>
    </xf>
    <xf numFmtId="49" fontId="73" fillId="0" borderId="1" xfId="0" applyNumberFormat="1" applyFont="1" applyBorder="1" applyAlignment="1">
      <alignment horizontal="center" vertical="center" wrapText="1"/>
    </xf>
    <xf numFmtId="0" fontId="72" fillId="29" borderId="1" xfId="0" applyFont="1" applyFill="1" applyBorder="1" applyAlignment="1">
      <alignment horizontal="center" vertical="center" wrapText="1"/>
    </xf>
    <xf numFmtId="0" fontId="72" fillId="29" borderId="1" xfId="0" applyFont="1" applyFill="1" applyBorder="1" applyAlignment="1">
      <alignment horizontal="left" vertical="center" wrapText="1"/>
    </xf>
    <xf numFmtId="49" fontId="72" fillId="29" borderId="1" xfId="0" applyNumberFormat="1" applyFont="1" applyFill="1" applyBorder="1" applyAlignment="1">
      <alignment horizontal="center" vertical="center" wrapText="1"/>
    </xf>
    <xf numFmtId="49" fontId="73" fillId="29" borderId="1" xfId="0" applyNumberFormat="1" applyFont="1" applyFill="1" applyBorder="1" applyAlignment="1">
      <alignment horizontal="center" vertical="center" wrapText="1"/>
    </xf>
    <xf numFmtId="3" fontId="72" fillId="29" borderId="1" xfId="0" applyNumberFormat="1" applyFont="1" applyFill="1" applyBorder="1" applyAlignment="1">
      <alignment horizontal="center" vertical="center" wrapText="1"/>
    </xf>
    <xf numFmtId="3" fontId="72" fillId="0" borderId="1" xfId="0" applyNumberFormat="1" applyFont="1" applyBorder="1" applyAlignment="1">
      <alignment horizontal="center" vertical="center" wrapText="1"/>
    </xf>
    <xf numFmtId="0" fontId="72" fillId="29" borderId="0" xfId="0" applyFont="1" applyFill="1" applyAlignment="1">
      <alignment horizontal="center" vertical="center" wrapText="1"/>
    </xf>
    <xf numFmtId="49" fontId="72" fillId="29" borderId="0" xfId="0" applyNumberFormat="1" applyFont="1" applyFill="1" applyAlignment="1">
      <alignment horizontal="center" vertical="center" wrapText="1"/>
    </xf>
    <xf numFmtId="0" fontId="72" fillId="29" borderId="0" xfId="0" applyFont="1" applyFill="1" applyAlignment="1">
      <alignment horizontal="left" vertical="center" wrapText="1"/>
    </xf>
    <xf numFmtId="3" fontId="72" fillId="29" borderId="0" xfId="0" applyNumberFormat="1" applyFont="1" applyFill="1" applyAlignment="1">
      <alignment horizontal="center" vertical="center" wrapText="1"/>
    </xf>
    <xf numFmtId="49" fontId="73" fillId="29" borderId="0" xfId="0" applyNumberFormat="1" applyFont="1" applyFill="1" applyAlignment="1">
      <alignment horizontal="center" vertical="center" wrapText="1"/>
    </xf>
    <xf numFmtId="49" fontId="51" fillId="2" borderId="0" xfId="0" applyNumberFormat="1" applyFont="1" applyFill="1" applyAlignment="1">
      <alignment horizontal="center"/>
    </xf>
    <xf numFmtId="0" fontId="51" fillId="2" borderId="0" xfId="0" applyFont="1" applyFill="1"/>
    <xf numFmtId="49" fontId="51" fillId="0" borderId="0" xfId="0" applyNumberFormat="1" applyFont="1" applyAlignment="1">
      <alignment horizontal="center"/>
    </xf>
    <xf numFmtId="0" fontId="51" fillId="15" borderId="0" xfId="0" applyFont="1" applyFill="1"/>
    <xf numFmtId="0" fontId="53" fillId="0" borderId="0" xfId="0" applyFont="1"/>
    <xf numFmtId="0" fontId="53" fillId="10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53" fillId="21" borderId="0" xfId="0" applyFont="1" applyFill="1" applyAlignment="1">
      <alignment horizontal="center"/>
    </xf>
    <xf numFmtId="0" fontId="53" fillId="19" borderId="0" xfId="0" applyFont="1" applyFill="1" applyAlignment="1">
      <alignment horizontal="right"/>
    </xf>
    <xf numFmtId="0" fontId="53" fillId="19" borderId="0" xfId="0" applyFont="1" applyFill="1" applyAlignment="1">
      <alignment horizontal="center"/>
    </xf>
    <xf numFmtId="0" fontId="53" fillId="22" borderId="0" xfId="0" applyFont="1" applyFill="1" applyAlignment="1">
      <alignment horizontal="right"/>
    </xf>
    <xf numFmtId="0" fontId="53" fillId="22" borderId="0" xfId="0" applyFont="1" applyFill="1" applyAlignment="1">
      <alignment horizontal="center"/>
    </xf>
    <xf numFmtId="0" fontId="72" fillId="0" borderId="0" xfId="0" applyFont="1"/>
    <xf numFmtId="0" fontId="10" fillId="29" borderId="1" xfId="0" applyFont="1" applyFill="1" applyBorder="1" applyAlignment="1">
      <alignment horizontal="center" vertical="top" wrapText="1"/>
    </xf>
    <xf numFmtId="0" fontId="10" fillId="29" borderId="0" xfId="0" applyFont="1" applyFill="1" applyAlignment="1">
      <alignment horizontal="center" vertical="top" wrapText="1"/>
    </xf>
    <xf numFmtId="0" fontId="1" fillId="29" borderId="0" xfId="0" applyFont="1" applyFill="1" applyAlignment="1">
      <alignment horizontal="center" vertical="top" wrapText="1"/>
    </xf>
    <xf numFmtId="0" fontId="74" fillId="29" borderId="0" xfId="0" applyFont="1" applyFill="1" applyAlignment="1">
      <alignment horizontal="center" vertical="top" wrapText="1"/>
    </xf>
    <xf numFmtId="14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51" fillId="23" borderId="0" xfId="0" applyFont="1" applyFill="1" applyAlignment="1">
      <alignment horizontal="center" vertical="center"/>
    </xf>
    <xf numFmtId="0" fontId="51" fillId="23" borderId="1" xfId="0" applyFont="1" applyFill="1" applyBorder="1" applyAlignment="1">
      <alignment horizontal="center" vertical="center"/>
    </xf>
    <xf numFmtId="0" fontId="75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76" fillId="0" borderId="1" xfId="0" applyFont="1" applyBorder="1" applyAlignment="1">
      <alignment horizontal="center" vertical="center"/>
    </xf>
    <xf numFmtId="49" fontId="24" fillId="13" borderId="0" xfId="0" applyNumberFormat="1" applyFont="1" applyFill="1" applyAlignment="1">
      <alignment horizontal="center" vertical="top" wrapText="1"/>
    </xf>
    <xf numFmtId="0" fontId="51" fillId="0" borderId="0" xfId="0" applyFont="1" applyAlignment="1">
      <alignment horizontal="center" vertical="center"/>
    </xf>
    <xf numFmtId="0" fontId="24" fillId="13" borderId="0" xfId="0" applyFont="1" applyFill="1" applyAlignment="1">
      <alignment horizontal="center" vertical="top" wrapText="1"/>
    </xf>
    <xf numFmtId="0" fontId="10" fillId="19" borderId="0" xfId="0" applyFont="1" applyFill="1" applyAlignment="1">
      <alignment horizontal="center" vertical="center" wrapText="1"/>
    </xf>
    <xf numFmtId="192" fontId="10" fillId="19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92" fontId="17" fillId="2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Alignment="1">
      <alignment horizontal="center" vertical="top" wrapText="1"/>
    </xf>
    <xf numFmtId="192" fontId="10" fillId="2" borderId="0" xfId="0" applyNumberFormat="1" applyFont="1" applyFill="1" applyAlignment="1">
      <alignment horizontal="center" vertical="center" wrapText="1"/>
    </xf>
    <xf numFmtId="2" fontId="10" fillId="2" borderId="0" xfId="0" applyNumberFormat="1" applyFont="1" applyFill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78" fillId="0" borderId="0" xfId="0" applyFont="1" applyAlignment="1">
      <alignment horizontal="center" vertical="top" wrapText="1"/>
    </xf>
    <xf numFmtId="0" fontId="79" fillId="19" borderId="0" xfId="0" applyFont="1" applyFill="1" applyAlignment="1">
      <alignment horizontal="center"/>
    </xf>
    <xf numFmtId="0" fontId="79" fillId="19" borderId="0" xfId="0" applyFont="1" applyFill="1" applyAlignment="1">
      <alignment horizontal="center" vertical="center" wrapText="1"/>
    </xf>
    <xf numFmtId="192" fontId="79" fillId="19" borderId="0" xfId="0" applyNumberFormat="1" applyFont="1" applyFill="1" applyAlignment="1">
      <alignment horizontal="center" vertical="center" wrapText="1"/>
    </xf>
    <xf numFmtId="193" fontId="10" fillId="2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2" fontId="10" fillId="0" borderId="0" xfId="0" applyNumberFormat="1" applyFont="1" applyAlignment="1">
      <alignment horizontal="center" vertical="top" wrapText="1"/>
    </xf>
    <xf numFmtId="0" fontId="10" fillId="30" borderId="0" xfId="0" applyFont="1" applyFill="1" applyAlignment="1">
      <alignment horizontal="center" vertical="top" wrapText="1"/>
    </xf>
    <xf numFmtId="0" fontId="51" fillId="30" borderId="0" xfId="0" applyFont="1" applyFill="1" applyAlignment="1">
      <alignment horizontal="center"/>
    </xf>
    <xf numFmtId="0" fontId="51" fillId="31" borderId="0" xfId="0" applyFont="1" applyFill="1" applyAlignment="1">
      <alignment horizontal="center" vertical="center"/>
    </xf>
    <xf numFmtId="0" fontId="10" fillId="31" borderId="0" xfId="0" applyFont="1" applyFill="1" applyAlignment="1">
      <alignment horizontal="center" vertical="center" wrapText="1"/>
    </xf>
    <xf numFmtId="2" fontId="10" fillId="31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192" fontId="10" fillId="31" borderId="0" xfId="0" applyNumberFormat="1" applyFont="1" applyFill="1" applyAlignment="1">
      <alignment horizontal="center" vertical="center" wrapText="1"/>
    </xf>
    <xf numFmtId="0" fontId="51" fillId="12" borderId="0" xfId="0" applyFont="1" applyFill="1" applyAlignment="1">
      <alignment horizontal="center"/>
    </xf>
    <xf numFmtId="0" fontId="80" fillId="29" borderId="1" xfId="0" applyFont="1" applyFill="1" applyBorder="1" applyAlignment="1">
      <alignment horizontal="center" vertical="top"/>
    </xf>
    <xf numFmtId="0" fontId="80" fillId="29" borderId="1" xfId="0" applyFont="1" applyFill="1" applyBorder="1" applyAlignment="1">
      <alignment horizontal="right" vertical="top"/>
    </xf>
    <xf numFmtId="0" fontId="80" fillId="0" borderId="1" xfId="0" applyFont="1" applyBorder="1" applyAlignment="1">
      <alignment vertical="top"/>
    </xf>
    <xf numFmtId="0" fontId="80" fillId="0" borderId="1" xfId="0" applyFont="1" applyBorder="1" applyAlignment="1">
      <alignment horizontal="center" vertical="top"/>
    </xf>
    <xf numFmtId="0" fontId="80" fillId="0" borderId="1" xfId="0" applyFont="1" applyBorder="1" applyAlignment="1">
      <alignment horizontal="right" vertical="top"/>
    </xf>
    <xf numFmtId="0" fontId="80" fillId="0" borderId="9" xfId="0" applyFont="1" applyBorder="1" applyAlignment="1">
      <alignment vertical="top"/>
    </xf>
    <xf numFmtId="0" fontId="80" fillId="0" borderId="9" xfId="0" applyFont="1" applyBorder="1" applyAlignment="1">
      <alignment horizontal="center" vertical="top"/>
    </xf>
    <xf numFmtId="0" fontId="80" fillId="0" borderId="9" xfId="0" applyFont="1" applyBorder="1" applyAlignment="1">
      <alignment horizontal="right" vertical="top"/>
    </xf>
    <xf numFmtId="3" fontId="80" fillId="0" borderId="9" xfId="0" applyNumberFormat="1" applyFont="1" applyBorder="1" applyAlignment="1">
      <alignment vertical="top"/>
    </xf>
    <xf numFmtId="0" fontId="80" fillId="0" borderId="0" xfId="0" applyFont="1"/>
    <xf numFmtId="0" fontId="80" fillId="0" borderId="0" xfId="0" applyFont="1" applyAlignment="1">
      <alignment horizontal="center"/>
    </xf>
    <xf numFmtId="0" fontId="80" fillId="0" borderId="0" xfId="0" applyFont="1" applyAlignment="1">
      <alignment horizontal="right"/>
    </xf>
    <xf numFmtId="0" fontId="10" fillId="10" borderId="0" xfId="0" applyFont="1" applyFill="1" applyAlignment="1">
      <alignment horizontal="center" vertical="top" wrapText="1"/>
    </xf>
    <xf numFmtId="192" fontId="10" fillId="32" borderId="0" xfId="0" applyNumberFormat="1" applyFont="1" applyFill="1" applyAlignment="1">
      <alignment horizontal="center" vertical="center" wrapText="1"/>
    </xf>
    <xf numFmtId="0" fontId="10" fillId="3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0" fontId="81" fillId="20" borderId="0" xfId="0" applyFont="1" applyFill="1" applyAlignment="1">
      <alignment horizontal="center"/>
    </xf>
    <xf numFmtId="192" fontId="51" fillId="0" borderId="0" xfId="0" applyNumberFormat="1" applyFont="1"/>
    <xf numFmtId="192" fontId="51" fillId="0" borderId="0" xfId="0" applyNumberFormat="1" applyFont="1" applyAlignment="1">
      <alignment wrapText="1"/>
    </xf>
    <xf numFmtId="3" fontId="1" fillId="13" borderId="0" xfId="0" applyNumberFormat="1" applyFont="1" applyFill="1" applyAlignment="1">
      <alignment horizontal="center" vertical="top"/>
    </xf>
    <xf numFmtId="3" fontId="82" fillId="17" borderId="0" xfId="0" applyNumberFormat="1" applyFont="1" applyFill="1" applyAlignment="1">
      <alignment horizontal="center" vertical="top"/>
    </xf>
    <xf numFmtId="0" fontId="34" fillId="0" borderId="0" xfId="0" applyFont="1"/>
    <xf numFmtId="3" fontId="83" fillId="17" borderId="0" xfId="0" applyNumberFormat="1" applyFont="1" applyFill="1" applyAlignment="1">
      <alignment horizontal="center" vertical="top"/>
    </xf>
    <xf numFmtId="0" fontId="84" fillId="10" borderId="0" xfId="0" applyFont="1" applyFill="1" applyAlignment="1">
      <alignment horizontal="center" vertical="top" wrapText="1"/>
    </xf>
    <xf numFmtId="0" fontId="50" fillId="13" borderId="0" xfId="0" applyFont="1" applyFill="1" applyAlignment="1">
      <alignment horizontal="left"/>
    </xf>
    <xf numFmtId="0" fontId="1" fillId="11" borderId="0" xfId="0" applyFont="1" applyFill="1" applyAlignment="1">
      <alignment horizontal="center" vertical="top" wrapText="1"/>
    </xf>
    <xf numFmtId="0" fontId="1" fillId="11" borderId="0" xfId="0" applyFont="1" applyFill="1" applyAlignment="1">
      <alignment horizontal="center" vertical="top"/>
    </xf>
    <xf numFmtId="0" fontId="3" fillId="11" borderId="0" xfId="0" applyFont="1" applyFill="1" applyAlignment="1">
      <alignment horizontal="left" vertical="top" wrapText="1"/>
    </xf>
    <xf numFmtId="3" fontId="1" fillId="11" borderId="0" xfId="0" applyNumberFormat="1" applyFont="1" applyFill="1" applyAlignment="1">
      <alignment horizontal="center" vertical="top"/>
    </xf>
    <xf numFmtId="3" fontId="1" fillId="11" borderId="0" xfId="0" applyNumberFormat="1" applyFont="1" applyFill="1" applyAlignment="1">
      <alignment horizontal="right" vertical="top"/>
    </xf>
    <xf numFmtId="3" fontId="85" fillId="11" borderId="0" xfId="0" applyNumberFormat="1" applyFont="1" applyFill="1" applyAlignment="1">
      <alignment horizontal="center" vertical="top"/>
    </xf>
    <xf numFmtId="14" fontId="1" fillId="11" borderId="0" xfId="0" applyNumberFormat="1" applyFont="1" applyFill="1" applyAlignment="1">
      <alignment horizontal="center" vertical="top"/>
    </xf>
    <xf numFmtId="0" fontId="51" fillId="11" borderId="0" xfId="0" applyFont="1" applyFill="1"/>
    <xf numFmtId="0" fontId="1" fillId="11" borderId="0" xfId="0" applyFont="1" applyFill="1" applyAlignment="1">
      <alignment horizontal="left" vertical="top" wrapText="1"/>
    </xf>
    <xf numFmtId="14" fontId="3" fillId="3" borderId="0" xfId="0" applyNumberFormat="1" applyFont="1" applyFill="1" applyAlignment="1">
      <alignment horizontal="left" vertical="top" wrapText="1"/>
    </xf>
    <xf numFmtId="0" fontId="2" fillId="33" borderId="0" xfId="0" applyFont="1" applyFill="1" applyAlignment="1">
      <alignment horizontal="center" vertical="top"/>
    </xf>
    <xf numFmtId="0" fontId="2" fillId="34" borderId="0" xfId="0" applyFont="1" applyFill="1" applyAlignment="1">
      <alignment horizontal="center" vertical="top"/>
    </xf>
    <xf numFmtId="49" fontId="2" fillId="34" borderId="0" xfId="0" applyNumberFormat="1" applyFont="1" applyFill="1" applyAlignment="1">
      <alignment horizontal="center" vertical="top"/>
    </xf>
    <xf numFmtId="0" fontId="2" fillId="34" borderId="0" xfId="0" applyFont="1" applyFill="1" applyAlignment="1">
      <alignment vertical="top" wrapText="1"/>
    </xf>
    <xf numFmtId="3" fontId="2" fillId="34" borderId="0" xfId="0" applyNumberFormat="1" applyFont="1" applyFill="1" applyAlignment="1">
      <alignment horizontal="center" vertical="top" wrapText="1"/>
    </xf>
    <xf numFmtId="3" fontId="2" fillId="34" borderId="0" xfId="0" applyNumberFormat="1" applyFont="1" applyFill="1" applyAlignment="1">
      <alignment horizontal="right" vertical="top"/>
    </xf>
    <xf numFmtId="14" fontId="2" fillId="34" borderId="0" xfId="0" applyNumberFormat="1" applyFont="1" applyFill="1" applyAlignment="1">
      <alignment horizontal="center" vertical="top"/>
    </xf>
    <xf numFmtId="3" fontId="15" fillId="33" borderId="0" xfId="0" applyNumberFormat="1" applyFont="1" applyFill="1" applyAlignment="1">
      <alignment horizontal="center" vertical="top" wrapText="1"/>
    </xf>
    <xf numFmtId="3" fontId="20" fillId="35" borderId="0" xfId="0" applyNumberFormat="1" applyFont="1" applyFill="1" applyAlignment="1">
      <alignment horizontal="center" vertical="top"/>
    </xf>
    <xf numFmtId="0" fontId="2" fillId="36" borderId="0" xfId="0" applyFont="1" applyFill="1" applyAlignment="1">
      <alignment horizontal="center" vertical="top"/>
    </xf>
    <xf numFmtId="0" fontId="2" fillId="37" borderId="0" xfId="0" applyFont="1" applyFill="1" applyAlignment="1">
      <alignment horizontal="center" vertical="top"/>
    </xf>
    <xf numFmtId="49" fontId="2" fillId="37" borderId="0" xfId="0" applyNumberFormat="1" applyFont="1" applyFill="1" applyAlignment="1">
      <alignment horizontal="center" vertical="top"/>
    </xf>
    <xf numFmtId="0" fontId="2" fillId="37" borderId="0" xfId="0" applyFont="1" applyFill="1" applyAlignment="1">
      <alignment vertical="top" wrapText="1"/>
    </xf>
    <xf numFmtId="3" fontId="2" fillId="37" borderId="0" xfId="0" applyNumberFormat="1" applyFont="1" applyFill="1" applyAlignment="1">
      <alignment horizontal="center" vertical="top" wrapText="1"/>
    </xf>
    <xf numFmtId="3" fontId="2" fillId="37" borderId="0" xfId="0" applyNumberFormat="1" applyFont="1" applyFill="1" applyAlignment="1">
      <alignment horizontal="right" vertical="top"/>
    </xf>
    <xf numFmtId="14" fontId="2" fillId="37" borderId="0" xfId="0" applyNumberFormat="1" applyFont="1" applyFill="1" applyAlignment="1">
      <alignment horizontal="center" vertical="top"/>
    </xf>
    <xf numFmtId="3" fontId="15" fillId="36" borderId="0" xfId="0" applyNumberFormat="1" applyFont="1" applyFill="1" applyAlignment="1">
      <alignment horizontal="center" vertical="top" wrapText="1"/>
    </xf>
    <xf numFmtId="3" fontId="20" fillId="38" borderId="0" xfId="0" applyNumberFormat="1" applyFont="1" applyFill="1" applyAlignment="1">
      <alignment horizontal="center" vertical="top"/>
    </xf>
    <xf numFmtId="0" fontId="6" fillId="39" borderId="0" xfId="0" applyFont="1" applyFill="1" applyAlignment="1">
      <alignment horizontal="center" vertical="top"/>
    </xf>
    <xf numFmtId="0" fontId="2" fillId="40" borderId="0" xfId="0" applyFont="1" applyFill="1" applyAlignment="1">
      <alignment horizontal="center" vertical="top"/>
    </xf>
    <xf numFmtId="49" fontId="2" fillId="40" borderId="0" xfId="0" applyNumberFormat="1" applyFont="1" applyFill="1" applyAlignment="1">
      <alignment horizontal="center" vertical="top"/>
    </xf>
    <xf numFmtId="0" fontId="2" fillId="40" borderId="0" xfId="0" applyFont="1" applyFill="1" applyAlignment="1">
      <alignment vertical="top" wrapText="1"/>
    </xf>
    <xf numFmtId="3" fontId="2" fillId="40" borderId="0" xfId="0" applyNumberFormat="1" applyFont="1" applyFill="1" applyAlignment="1">
      <alignment horizontal="center" vertical="top" wrapText="1"/>
    </xf>
    <xf numFmtId="3" fontId="2" fillId="40" borderId="0" xfId="0" applyNumberFormat="1" applyFont="1" applyFill="1" applyAlignment="1">
      <alignment horizontal="right" vertical="top"/>
    </xf>
    <xf numFmtId="14" fontId="2" fillId="40" borderId="0" xfId="0" applyNumberFormat="1" applyFont="1" applyFill="1" applyAlignment="1">
      <alignment horizontal="center" vertical="top"/>
    </xf>
    <xf numFmtId="0" fontId="2" fillId="41" borderId="0" xfId="0" applyFont="1" applyFill="1" applyAlignment="1">
      <alignment horizontal="center" vertical="top"/>
    </xf>
    <xf numFmtId="49" fontId="2" fillId="41" borderId="0" xfId="0" applyNumberFormat="1" applyFont="1" applyFill="1" applyAlignment="1">
      <alignment horizontal="center" vertical="top"/>
    </xf>
    <xf numFmtId="0" fontId="2" fillId="41" borderId="0" xfId="0" applyFont="1" applyFill="1" applyAlignment="1">
      <alignment vertical="top" wrapText="1"/>
    </xf>
    <xf numFmtId="3" fontId="2" fillId="41" borderId="0" xfId="0" applyNumberFormat="1" applyFont="1" applyFill="1" applyAlignment="1">
      <alignment horizontal="center" vertical="top" wrapText="1"/>
    </xf>
    <xf numFmtId="3" fontId="2" fillId="41" borderId="0" xfId="0" applyNumberFormat="1" applyFont="1" applyFill="1" applyAlignment="1">
      <alignment horizontal="right" vertical="top"/>
    </xf>
    <xf numFmtId="14" fontId="2" fillId="41" borderId="0" xfId="0" applyNumberFormat="1" applyFont="1" applyFill="1" applyAlignment="1">
      <alignment horizontal="center" vertical="top"/>
    </xf>
    <xf numFmtId="0" fontId="89" fillId="42" borderId="0" xfId="0" applyFont="1" applyFill="1" applyAlignment="1">
      <alignment horizontal="left"/>
    </xf>
    <xf numFmtId="0" fontId="89" fillId="42" borderId="0" xfId="0" applyFont="1" applyFill="1"/>
    <xf numFmtId="3" fontId="88" fillId="0" borderId="0" xfId="0" applyNumberFormat="1" applyFont="1" applyAlignment="1">
      <alignment horizontal="right" vertical="top"/>
    </xf>
    <xf numFmtId="0" fontId="87" fillId="11" borderId="0" xfId="0" applyFont="1" applyFill="1" applyAlignment="1">
      <alignment horizontal="center" vertical="top"/>
    </xf>
    <xf numFmtId="0" fontId="92" fillId="0" borderId="0" xfId="0" applyFont="1"/>
    <xf numFmtId="0" fontId="91" fillId="48" borderId="2" xfId="0" applyFont="1" applyFill="1" applyBorder="1" applyAlignment="1" applyProtection="1">
      <alignment vertical="top"/>
      <protection locked="0"/>
    </xf>
    <xf numFmtId="0" fontId="91" fillId="48" borderId="2" xfId="0" applyFont="1" applyFill="1" applyBorder="1" applyAlignment="1" applyProtection="1">
      <alignment horizontal="right" vertical="top"/>
      <protection locked="0"/>
    </xf>
    <xf numFmtId="0" fontId="91" fillId="48" borderId="2" xfId="0" applyFont="1" applyFill="1" applyBorder="1" applyAlignment="1" applyProtection="1">
      <alignment vertical="top" wrapText="1"/>
      <protection locked="0"/>
    </xf>
    <xf numFmtId="0" fontId="91" fillId="44" borderId="2" xfId="0" applyFont="1" applyFill="1" applyBorder="1" applyAlignment="1">
      <alignment horizontal="center" vertical="top"/>
    </xf>
    <xf numFmtId="0" fontId="91" fillId="43" borderId="2" xfId="0" applyFont="1" applyFill="1" applyBorder="1" applyAlignment="1">
      <alignment horizontal="center" vertical="top"/>
    </xf>
    <xf numFmtId="49" fontId="91" fillId="43" borderId="2" xfId="0" applyNumberFormat="1" applyFont="1" applyFill="1" applyBorder="1" applyAlignment="1">
      <alignment horizontal="center" vertical="top"/>
    </xf>
    <xf numFmtId="0" fontId="91" fillId="43" borderId="2" xfId="0" applyFont="1" applyFill="1" applyBorder="1" applyAlignment="1">
      <alignment vertical="top" wrapText="1"/>
    </xf>
    <xf numFmtId="3" fontId="91" fillId="43" borderId="2" xfId="0" applyNumberFormat="1" applyFont="1" applyFill="1" applyBorder="1" applyAlignment="1" applyProtection="1">
      <alignment horizontal="center" vertical="top" wrapText="1"/>
      <protection locked="0"/>
    </xf>
    <xf numFmtId="3" fontId="91" fillId="43" borderId="2" xfId="0" applyNumberFormat="1" applyFont="1" applyFill="1" applyBorder="1" applyAlignment="1" applyProtection="1">
      <alignment horizontal="right" vertical="top"/>
      <protection locked="0"/>
    </xf>
    <xf numFmtId="3" fontId="93" fillId="44" borderId="2" xfId="0" applyNumberFormat="1" applyFont="1" applyFill="1" applyBorder="1" applyAlignment="1" applyProtection="1">
      <alignment horizontal="center" vertical="top" wrapText="1"/>
      <protection locked="0"/>
    </xf>
    <xf numFmtId="0" fontId="91" fillId="44" borderId="0" xfId="0" applyFont="1" applyFill="1" applyAlignment="1">
      <alignment horizontal="center" vertical="top"/>
    </xf>
    <xf numFmtId="0" fontId="91" fillId="43" borderId="0" xfId="0" applyFont="1" applyFill="1" applyAlignment="1">
      <alignment horizontal="center" vertical="top"/>
    </xf>
    <xf numFmtId="49" fontId="91" fillId="43" borderId="0" xfId="0" applyNumberFormat="1" applyFont="1" applyFill="1" applyAlignment="1">
      <alignment horizontal="center" vertical="top"/>
    </xf>
    <xf numFmtId="0" fontId="91" fillId="43" borderId="0" xfId="0" applyFont="1" applyFill="1" applyAlignment="1">
      <alignment vertical="top" wrapText="1"/>
    </xf>
    <xf numFmtId="3" fontId="91" fillId="43" borderId="0" xfId="0" applyNumberFormat="1" applyFont="1" applyFill="1" applyAlignment="1" applyProtection="1">
      <alignment horizontal="center" vertical="top" wrapText="1"/>
      <protection locked="0"/>
    </xf>
    <xf numFmtId="3" fontId="91" fillId="43" borderId="0" xfId="0" applyNumberFormat="1" applyFont="1" applyFill="1" applyAlignment="1" applyProtection="1">
      <alignment horizontal="right" vertical="top"/>
      <protection locked="0"/>
    </xf>
    <xf numFmtId="3" fontId="93" fillId="44" borderId="0" xfId="0" applyNumberFormat="1" applyFont="1" applyFill="1" applyAlignment="1" applyProtection="1">
      <alignment horizontal="center" vertical="top" wrapText="1"/>
      <protection locked="0"/>
    </xf>
    <xf numFmtId="3" fontId="91" fillId="50" borderId="2" xfId="0" applyNumberFormat="1" applyFont="1" applyFill="1" applyBorder="1" applyAlignment="1" applyProtection="1">
      <alignment horizontal="center" vertical="top" wrapText="1"/>
      <protection locked="0"/>
    </xf>
    <xf numFmtId="3" fontId="91" fillId="50" borderId="2" xfId="0" applyNumberFormat="1" applyFont="1" applyFill="1" applyBorder="1" applyAlignment="1" applyProtection="1">
      <alignment horizontal="right" vertical="top"/>
      <protection locked="0"/>
    </xf>
    <xf numFmtId="3" fontId="93" fillId="49" borderId="2" xfId="0" applyNumberFormat="1" applyFont="1" applyFill="1" applyBorder="1" applyAlignment="1" applyProtection="1">
      <alignment horizontal="center" vertical="top" wrapText="1"/>
      <protection locked="0"/>
    </xf>
    <xf numFmtId="0" fontId="91" fillId="0" borderId="0" xfId="0" applyFont="1"/>
    <xf numFmtId="0" fontId="91" fillId="48" borderId="2" xfId="0" applyFont="1" applyFill="1" applyBorder="1" applyAlignment="1">
      <alignment vertical="top"/>
    </xf>
    <xf numFmtId="0" fontId="91" fillId="48" borderId="0" xfId="0" applyFont="1" applyFill="1" applyAlignment="1" applyProtection="1">
      <alignment vertical="top"/>
      <protection locked="0"/>
    </xf>
    <xf numFmtId="0" fontId="91" fillId="48" borderId="0" xfId="0" applyFont="1" applyFill="1" applyAlignment="1" applyProtection="1">
      <alignment horizontal="right" vertical="top"/>
      <protection locked="0"/>
    </xf>
    <xf numFmtId="0" fontId="91" fillId="48" borderId="0" xfId="0" applyFont="1" applyFill="1" applyAlignment="1" applyProtection="1">
      <alignment vertical="top" wrapText="1"/>
      <protection locked="0"/>
    </xf>
    <xf numFmtId="0" fontId="93" fillId="44" borderId="0" xfId="1" applyNumberFormat="1" applyFont="1" applyFill="1" applyAlignment="1" applyProtection="1">
      <alignment horizontal="center" vertical="top" wrapText="1"/>
      <protection locked="0"/>
    </xf>
    <xf numFmtId="0" fontId="91" fillId="48" borderId="2" xfId="0" applyFont="1" applyFill="1" applyBorder="1"/>
    <xf numFmtId="0" fontId="94" fillId="48" borderId="0" xfId="0" applyFont="1" applyFill="1" applyAlignment="1" applyProtection="1">
      <alignment horizontal="right" vertical="top"/>
      <protection locked="0"/>
    </xf>
    <xf numFmtId="0" fontId="94" fillId="48" borderId="0" xfId="0" applyFont="1" applyFill="1" applyAlignment="1" applyProtection="1">
      <alignment horizontal="center" vertical="top"/>
      <protection locked="0"/>
    </xf>
    <xf numFmtId="0" fontId="94" fillId="48" borderId="0" xfId="0" applyFont="1" applyFill="1" applyAlignment="1" applyProtection="1">
      <alignment horizontal="left" vertical="top"/>
      <protection locked="0"/>
    </xf>
    <xf numFmtId="0" fontId="91" fillId="48" borderId="0" xfId="0" applyFont="1" applyFill="1" applyAlignment="1">
      <alignment horizontal="center" vertical="top"/>
    </xf>
    <xf numFmtId="0" fontId="91" fillId="48" borderId="0" xfId="0" applyFont="1" applyFill="1"/>
    <xf numFmtId="0" fontId="91" fillId="43" borderId="0" xfId="0" applyFont="1" applyFill="1" applyAlignment="1">
      <alignment vertical="top" shrinkToFit="1"/>
    </xf>
    <xf numFmtId="0" fontId="94" fillId="48" borderId="0" xfId="0" applyFont="1" applyFill="1" applyAlignment="1">
      <alignment horizontal="center"/>
    </xf>
    <xf numFmtId="0" fontId="94" fillId="48" borderId="0" xfId="0" applyFont="1" applyFill="1" applyProtection="1">
      <protection locked="0"/>
    </xf>
    <xf numFmtId="3" fontId="91" fillId="44" borderId="0" xfId="0" applyNumberFormat="1" applyFont="1" applyFill="1" applyAlignment="1" applyProtection="1">
      <alignment horizontal="center" vertical="top" wrapText="1"/>
      <protection locked="0"/>
    </xf>
    <xf numFmtId="0" fontId="91" fillId="43" borderId="0" xfId="0" applyFont="1" applyFill="1" applyAlignment="1">
      <alignment horizontal="left" vertical="top" wrapText="1"/>
    </xf>
    <xf numFmtId="0" fontId="91" fillId="48" borderId="0" xfId="0" applyFont="1" applyFill="1" applyAlignment="1">
      <alignment horizontal="center"/>
    </xf>
    <xf numFmtId="0" fontId="91" fillId="48" borderId="0" xfId="0" applyFont="1" applyFill="1" applyAlignment="1" applyProtection="1">
      <alignment horizontal="center" vertical="top"/>
      <protection locked="0"/>
    </xf>
    <xf numFmtId="0" fontId="91" fillId="48" borderId="0" xfId="0" applyFont="1" applyFill="1" applyAlignment="1" applyProtection="1">
      <alignment horizontal="center"/>
      <protection locked="0"/>
    </xf>
    <xf numFmtId="0" fontId="91" fillId="48" borderId="0" xfId="0" applyFont="1" applyFill="1" applyProtection="1">
      <protection locked="0"/>
    </xf>
    <xf numFmtId="0" fontId="94" fillId="48" borderId="0" xfId="0" applyFont="1" applyFill="1" applyAlignment="1" applyProtection="1">
      <alignment horizontal="center"/>
      <protection locked="0"/>
    </xf>
    <xf numFmtId="0" fontId="91" fillId="50" borderId="0" xfId="0" applyFont="1" applyFill="1"/>
    <xf numFmtId="3" fontId="91" fillId="50" borderId="0" xfId="0" applyNumberFormat="1" applyFont="1" applyFill="1" applyAlignment="1" applyProtection="1">
      <alignment horizontal="center" vertical="top" wrapText="1"/>
      <protection locked="0"/>
    </xf>
    <xf numFmtId="3" fontId="91" fillId="50" borderId="0" xfId="0" applyNumberFormat="1" applyFont="1" applyFill="1" applyAlignment="1" applyProtection="1">
      <alignment horizontal="right" vertical="top"/>
      <protection locked="0"/>
    </xf>
    <xf numFmtId="3" fontId="93" fillId="49" borderId="0" xfId="0" applyNumberFormat="1" applyFont="1" applyFill="1" applyAlignment="1" applyProtection="1">
      <alignment horizontal="center" vertical="top" wrapText="1"/>
      <protection locked="0"/>
    </xf>
    <xf numFmtId="0" fontId="92" fillId="0" borderId="0" xfId="0" applyFont="1" applyProtection="1">
      <protection locked="0"/>
    </xf>
    <xf numFmtId="0" fontId="91" fillId="0" borderId="0" xfId="0" applyFont="1" applyFill="1" applyAlignment="1">
      <alignment vertical="top" wrapText="1"/>
    </xf>
    <xf numFmtId="0" fontId="92" fillId="0" borderId="0" xfId="0" applyFont="1" applyFill="1"/>
    <xf numFmtId="0" fontId="91" fillId="43" borderId="2" xfId="0" applyFont="1" applyFill="1" applyBorder="1" applyAlignment="1">
      <alignment horizontal="center"/>
    </xf>
    <xf numFmtId="0" fontId="91" fillId="43" borderId="2" xfId="0" applyFont="1" applyFill="1" applyBorder="1"/>
    <xf numFmtId="13" fontId="91" fillId="43" borderId="2" xfId="0" applyNumberFormat="1" applyFont="1" applyFill="1" applyBorder="1"/>
    <xf numFmtId="0" fontId="91" fillId="43" borderId="2" xfId="0" applyFont="1" applyFill="1" applyBorder="1" applyAlignment="1">
      <alignment horizontal="left"/>
    </xf>
    <xf numFmtId="0" fontId="91" fillId="43" borderId="0" xfId="0" applyFont="1" applyFill="1" applyAlignment="1" applyProtection="1">
      <alignment horizontal="center"/>
      <protection locked="0"/>
    </xf>
    <xf numFmtId="3" fontId="91" fillId="43" borderId="0" xfId="0" applyNumberFormat="1" applyFont="1" applyFill="1" applyAlignment="1" applyProtection="1">
      <alignment horizontal="right"/>
      <protection locked="0"/>
    </xf>
    <xf numFmtId="0" fontId="96" fillId="0" borderId="0" xfId="0" applyFont="1" applyFill="1" applyAlignment="1" applyProtection="1">
      <alignment horizontal="center"/>
      <protection locked="0"/>
    </xf>
    <xf numFmtId="0" fontId="98" fillId="9" borderId="0" xfId="0" applyFont="1" applyFill="1" applyAlignment="1">
      <alignment horizontal="center" vertical="center" wrapText="1"/>
    </xf>
    <xf numFmtId="0" fontId="101" fillId="11" borderId="0" xfId="0" applyFont="1" applyFill="1" applyAlignment="1">
      <alignment horizontal="center" vertical="top"/>
    </xf>
    <xf numFmtId="0" fontId="98" fillId="11" borderId="0" xfId="0" applyFont="1" applyFill="1" applyAlignment="1">
      <alignment vertical="top"/>
    </xf>
    <xf numFmtId="0" fontId="101" fillId="11" borderId="0" xfId="0" applyFont="1" applyFill="1" applyAlignment="1">
      <alignment horizontal="left" vertical="top"/>
    </xf>
    <xf numFmtId="0" fontId="102" fillId="0" borderId="0" xfId="0" applyFont="1" applyAlignment="1">
      <alignment horizontal="center" vertical="top"/>
    </xf>
    <xf numFmtId="0" fontId="101" fillId="11" borderId="0" xfId="0" applyFont="1" applyFill="1"/>
    <xf numFmtId="0" fontId="100" fillId="0" borderId="0" xfId="0" applyFont="1"/>
    <xf numFmtId="0" fontId="92" fillId="0" borderId="0" xfId="0" applyFont="1" applyAlignment="1">
      <alignment wrapText="1"/>
    </xf>
    <xf numFmtId="3" fontId="105" fillId="0" borderId="16" xfId="0" applyNumberFormat="1" applyFont="1" applyFill="1" applyBorder="1" applyAlignment="1" applyProtection="1">
      <alignment horizontal="center" vertical="top" wrapText="1"/>
      <protection locked="0"/>
    </xf>
    <xf numFmtId="0" fontId="95" fillId="0" borderId="16" xfId="0" applyFont="1" applyFill="1" applyBorder="1" applyAlignment="1">
      <alignment vertical="top" wrapText="1"/>
    </xf>
    <xf numFmtId="0" fontId="104" fillId="0" borderId="0" xfId="0" applyFont="1" applyFill="1"/>
    <xf numFmtId="0" fontId="95" fillId="0" borderId="16" xfId="0" applyFont="1" applyFill="1" applyBorder="1" applyAlignment="1">
      <alignment horizontal="center" vertical="top"/>
    </xf>
    <xf numFmtId="49" fontId="95" fillId="0" borderId="16" xfId="0" applyNumberFormat="1" applyFont="1" applyFill="1" applyBorder="1" applyAlignment="1">
      <alignment horizontal="center" vertical="top"/>
    </xf>
    <xf numFmtId="3" fontId="95" fillId="0" borderId="16" xfId="0" applyNumberFormat="1" applyFont="1" applyFill="1" applyBorder="1" applyAlignment="1" applyProtection="1">
      <alignment horizontal="center" vertical="top" wrapText="1"/>
      <protection locked="0"/>
    </xf>
    <xf numFmtId="3" fontId="95" fillId="0" borderId="16" xfId="0" applyNumberFormat="1" applyFont="1" applyFill="1" applyBorder="1" applyAlignment="1" applyProtection="1">
      <alignment horizontal="right" vertical="top"/>
      <protection locked="0"/>
    </xf>
    <xf numFmtId="0" fontId="95" fillId="0" borderId="0" xfId="0" applyFont="1" applyFill="1"/>
    <xf numFmtId="0" fontId="95" fillId="0" borderId="21" xfId="0" applyFont="1" applyFill="1" applyBorder="1" applyAlignment="1">
      <alignment horizontal="center" vertical="top"/>
    </xf>
    <xf numFmtId="0" fontId="104" fillId="0" borderId="16" xfId="0" applyFont="1" applyFill="1" applyBorder="1"/>
    <xf numFmtId="0" fontId="104" fillId="0" borderId="16" xfId="0" applyFont="1" applyFill="1" applyBorder="1" applyAlignment="1"/>
    <xf numFmtId="3" fontId="95" fillId="0" borderId="16" xfId="0" applyNumberFormat="1" applyFont="1" applyFill="1" applyBorder="1" applyAlignment="1">
      <alignment horizontal="center" vertical="top" wrapText="1"/>
    </xf>
    <xf numFmtId="3" fontId="95" fillId="0" borderId="16" xfId="0" applyNumberFormat="1" applyFont="1" applyFill="1" applyBorder="1" applyAlignment="1">
      <alignment horizontal="right" vertical="top"/>
    </xf>
    <xf numFmtId="0" fontId="104" fillId="0" borderId="16" xfId="0" applyFont="1" applyFill="1" applyBorder="1" applyAlignment="1">
      <alignment horizontal="center"/>
    </xf>
    <xf numFmtId="3" fontId="104" fillId="0" borderId="16" xfId="0" applyNumberFormat="1" applyFont="1" applyFill="1" applyBorder="1"/>
    <xf numFmtId="0" fontId="104" fillId="0" borderId="0" xfId="0" applyFont="1" applyFill="1" applyAlignment="1">
      <alignment wrapText="1"/>
    </xf>
    <xf numFmtId="0" fontId="104" fillId="0" borderId="0" xfId="0" applyFont="1" applyFill="1" applyProtection="1">
      <protection locked="0"/>
    </xf>
    <xf numFmtId="0" fontId="95" fillId="52" borderId="16" xfId="0" applyFont="1" applyFill="1" applyBorder="1" applyAlignment="1">
      <alignment horizontal="center" vertical="center" wrapText="1"/>
    </xf>
    <xf numFmtId="3" fontId="95" fillId="52" borderId="16" xfId="0" applyNumberFormat="1" applyFont="1" applyFill="1" applyBorder="1" applyAlignment="1" applyProtection="1">
      <alignment horizontal="center" vertical="center" wrapText="1"/>
      <protection locked="0"/>
    </xf>
    <xf numFmtId="0" fontId="91" fillId="45" borderId="30" xfId="0" applyFont="1" applyFill="1" applyBorder="1" applyAlignment="1">
      <alignment horizontal="center" vertical="center" wrapText="1"/>
    </xf>
    <xf numFmtId="0" fontId="91" fillId="46" borderId="30" xfId="0" applyFont="1" applyFill="1" applyBorder="1" applyAlignment="1">
      <alignment horizontal="center" vertical="center" wrapText="1"/>
    </xf>
    <xf numFmtId="3" fontId="91" fillId="47" borderId="30" xfId="0" applyNumberFormat="1" applyFont="1" applyFill="1" applyBorder="1" applyAlignment="1" applyProtection="1">
      <alignment horizontal="center" vertical="center" wrapText="1"/>
      <protection locked="0"/>
    </xf>
    <xf numFmtId="0" fontId="91" fillId="44" borderId="30" xfId="0" applyFont="1" applyFill="1" applyBorder="1" applyAlignment="1">
      <alignment horizontal="center" vertical="top"/>
    </xf>
    <xf numFmtId="0" fontId="95" fillId="43" borderId="30" xfId="0" applyFont="1" applyFill="1" applyBorder="1" applyAlignment="1">
      <alignment horizontal="center" vertical="top"/>
    </xf>
    <xf numFmtId="49" fontId="95" fillId="43" borderId="30" xfId="0" applyNumberFormat="1" applyFont="1" applyFill="1" applyBorder="1" applyAlignment="1">
      <alignment horizontal="center" vertical="top"/>
    </xf>
    <xf numFmtId="0" fontId="91" fillId="43" borderId="30" xfId="0" applyFont="1" applyFill="1" applyBorder="1" applyAlignment="1">
      <alignment horizontal="center" vertical="top"/>
    </xf>
    <xf numFmtId="0" fontId="91" fillId="43" borderId="30" xfId="0" applyFont="1" applyFill="1" applyBorder="1" applyAlignment="1">
      <alignment vertical="top" wrapText="1"/>
    </xf>
    <xf numFmtId="3" fontId="91" fillId="43" borderId="30" xfId="0" applyNumberFormat="1" applyFont="1" applyFill="1" applyBorder="1" applyAlignment="1" applyProtection="1">
      <alignment horizontal="center" vertical="top" wrapText="1"/>
      <protection locked="0"/>
    </xf>
    <xf numFmtId="3" fontId="91" fillId="43" borderId="30" xfId="0" applyNumberFormat="1" applyFont="1" applyFill="1" applyBorder="1" applyAlignment="1" applyProtection="1">
      <alignment horizontal="right" vertical="top"/>
      <protection locked="0"/>
    </xf>
    <xf numFmtId="0" fontId="99" fillId="43" borderId="30" xfId="0" applyFont="1" applyFill="1" applyBorder="1" applyAlignment="1">
      <alignment horizontal="center" vertical="top"/>
    </xf>
    <xf numFmtId="0" fontId="92" fillId="43" borderId="30" xfId="0" applyFont="1" applyFill="1" applyBorder="1"/>
    <xf numFmtId="0" fontId="92" fillId="43" borderId="30" xfId="0" applyFont="1" applyFill="1" applyBorder="1" applyAlignment="1"/>
    <xf numFmtId="3" fontId="99" fillId="43" borderId="30" xfId="0" applyNumberFormat="1" applyFont="1" applyFill="1" applyBorder="1" applyAlignment="1">
      <alignment horizontal="center" vertical="top" wrapText="1"/>
    </xf>
    <xf numFmtId="3" fontId="99" fillId="43" borderId="30" xfId="0" applyNumberFormat="1" applyFont="1" applyFill="1" applyBorder="1" applyAlignment="1">
      <alignment horizontal="right" vertical="top"/>
    </xf>
    <xf numFmtId="0" fontId="97" fillId="43" borderId="30" xfId="0" applyFont="1" applyFill="1" applyBorder="1" applyAlignment="1">
      <alignment horizontal="center"/>
    </xf>
    <xf numFmtId="3" fontId="97" fillId="43" borderId="30" xfId="0" applyNumberFormat="1" applyFont="1" applyFill="1" applyBorder="1"/>
    <xf numFmtId="0" fontId="92" fillId="43" borderId="30" xfId="0" applyFont="1" applyFill="1" applyBorder="1" applyAlignment="1">
      <alignment wrapText="1"/>
    </xf>
    <xf numFmtId="3" fontId="93" fillId="44" borderId="30" xfId="0" applyNumberFormat="1" applyFont="1" applyFill="1" applyBorder="1" applyAlignment="1" applyProtection="1">
      <alignment horizontal="center" vertical="top" wrapText="1"/>
      <protection locked="0"/>
    </xf>
    <xf numFmtId="3" fontId="93" fillId="43" borderId="30" xfId="0" applyNumberFormat="1" applyFont="1" applyFill="1" applyBorder="1" applyAlignment="1" applyProtection="1">
      <alignment horizontal="center" vertical="top" wrapText="1"/>
      <protection locked="0"/>
    </xf>
    <xf numFmtId="0" fontId="95" fillId="54" borderId="16" xfId="0" applyFont="1" applyFill="1" applyBorder="1" applyAlignment="1">
      <alignment horizontal="center" vertical="top"/>
    </xf>
    <xf numFmtId="49" fontId="95" fillId="54" borderId="16" xfId="0" applyNumberFormat="1" applyFont="1" applyFill="1" applyBorder="1" applyAlignment="1">
      <alignment horizontal="center" vertical="top"/>
    </xf>
    <xf numFmtId="0" fontId="95" fillId="54" borderId="16" xfId="0" applyFont="1" applyFill="1" applyBorder="1" applyAlignment="1">
      <alignment vertical="top" wrapText="1"/>
    </xf>
    <xf numFmtId="3" fontId="95" fillId="54" borderId="16" xfId="0" applyNumberFormat="1" applyFont="1" applyFill="1" applyBorder="1" applyAlignment="1" applyProtection="1">
      <alignment horizontal="center" vertical="top" wrapText="1"/>
      <protection locked="0"/>
    </xf>
    <xf numFmtId="3" fontId="95" fillId="54" borderId="16" xfId="0" applyNumberFormat="1" applyFont="1" applyFill="1" applyBorder="1" applyAlignment="1" applyProtection="1">
      <alignment horizontal="right" vertical="top"/>
      <protection locked="0"/>
    </xf>
    <xf numFmtId="3" fontId="105" fillId="54" borderId="16" xfId="0" applyNumberFormat="1" applyFont="1" applyFill="1" applyBorder="1" applyAlignment="1" applyProtection="1">
      <alignment horizontal="center" vertical="top" wrapText="1"/>
      <protection locked="0"/>
    </xf>
    <xf numFmtId="0" fontId="104" fillId="54" borderId="16" xfId="0" applyFont="1" applyFill="1" applyBorder="1"/>
    <xf numFmtId="0" fontId="104" fillId="54" borderId="16" xfId="0" applyFont="1" applyFill="1" applyBorder="1" applyAlignment="1"/>
    <xf numFmtId="0" fontId="104" fillId="54" borderId="16" xfId="0" applyFont="1" applyFill="1" applyBorder="1" applyAlignment="1">
      <alignment horizontal="center"/>
    </xf>
    <xf numFmtId="3" fontId="104" fillId="54" borderId="16" xfId="0" applyNumberFormat="1" applyFont="1" applyFill="1" applyBorder="1"/>
    <xf numFmtId="0" fontId="104" fillId="54" borderId="16" xfId="0" applyFont="1" applyFill="1" applyBorder="1" applyAlignment="1">
      <alignment wrapText="1"/>
    </xf>
    <xf numFmtId="0" fontId="104" fillId="54" borderId="16" xfId="0" applyFont="1" applyFill="1" applyBorder="1" applyAlignment="1">
      <alignment vertical="top" wrapText="1"/>
    </xf>
    <xf numFmtId="0" fontId="104" fillId="54" borderId="16" xfId="0" applyFont="1" applyFill="1" applyBorder="1" applyAlignment="1">
      <alignment horizontal="center" vertical="top"/>
    </xf>
    <xf numFmtId="3" fontId="104" fillId="54" borderId="16" xfId="0" applyNumberFormat="1" applyFont="1" applyFill="1" applyBorder="1" applyAlignment="1">
      <alignment vertical="top"/>
    </xf>
    <xf numFmtId="0" fontId="95" fillId="0" borderId="2" xfId="0" applyFont="1" applyFill="1" applyBorder="1" applyAlignment="1">
      <alignment horizontal="center" vertical="top"/>
    </xf>
    <xf numFmtId="49" fontId="95" fillId="0" borderId="2" xfId="0" applyNumberFormat="1" applyFont="1" applyFill="1" applyBorder="1" applyAlignment="1">
      <alignment horizontal="center" vertical="top"/>
    </xf>
    <xf numFmtId="0" fontId="95" fillId="0" borderId="2" xfId="0" applyFont="1" applyFill="1" applyBorder="1" applyAlignment="1">
      <alignment vertical="top" wrapText="1"/>
    </xf>
    <xf numFmtId="3" fontId="95" fillId="0" borderId="2" xfId="0" applyNumberFormat="1" applyFont="1" applyFill="1" applyBorder="1" applyAlignment="1" applyProtection="1">
      <alignment horizontal="center" vertical="top" wrapText="1"/>
      <protection locked="0"/>
    </xf>
    <xf numFmtId="3" fontId="95" fillId="0" borderId="2" xfId="0" applyNumberFormat="1" applyFont="1" applyFill="1" applyBorder="1" applyAlignment="1" applyProtection="1">
      <alignment horizontal="right" vertical="top"/>
      <protection locked="0"/>
    </xf>
    <xf numFmtId="3" fontId="105" fillId="0" borderId="2" xfId="0" applyNumberFormat="1" applyFont="1" applyFill="1" applyBorder="1" applyAlignment="1" applyProtection="1">
      <alignment horizontal="center" vertical="top" wrapText="1"/>
      <protection locked="0"/>
    </xf>
    <xf numFmtId="0" fontId="6" fillId="11" borderId="0" xfId="0" applyFont="1" applyFill="1" applyAlignment="1">
      <alignment horizontal="left" vertical="top"/>
    </xf>
    <xf numFmtId="0" fontId="91" fillId="48" borderId="0" xfId="0" applyFont="1" applyFill="1"/>
    <xf numFmtId="0" fontId="92" fillId="50" borderId="0" xfId="0" applyFont="1" applyFill="1"/>
    <xf numFmtId="0" fontId="91" fillId="50" borderId="0" xfId="0" applyFont="1" applyFill="1"/>
    <xf numFmtId="0" fontId="91" fillId="48" borderId="2" xfId="0" applyFont="1" applyFill="1" applyBorder="1" applyAlignment="1">
      <alignment horizontal="center" vertical="top"/>
    </xf>
    <xf numFmtId="0" fontId="91" fillId="49" borderId="2" xfId="0" applyFont="1" applyFill="1" applyBorder="1" applyAlignment="1">
      <alignment horizontal="center" vertical="top"/>
    </xf>
    <xf numFmtId="0" fontId="6" fillId="11" borderId="0" xfId="0" applyFont="1" applyFill="1" applyAlignment="1">
      <alignment horizontal="left" vertical="top"/>
    </xf>
    <xf numFmtId="0" fontId="0" fillId="0" borderId="0" xfId="0"/>
    <xf numFmtId="0" fontId="25" fillId="11" borderId="0" xfId="0" applyFont="1" applyFill="1"/>
    <xf numFmtId="0" fontId="27" fillId="11" borderId="0" xfId="0" applyFont="1" applyFill="1"/>
    <xf numFmtId="0" fontId="95" fillId="52" borderId="38" xfId="0" applyFont="1" applyFill="1" applyBorder="1" applyAlignment="1">
      <alignment horizontal="center"/>
    </xf>
    <xf numFmtId="0" fontId="95" fillId="52" borderId="39" xfId="0" applyFont="1" applyFill="1" applyBorder="1" applyAlignment="1">
      <alignment horizontal="center"/>
    </xf>
    <xf numFmtId="0" fontId="95" fillId="52" borderId="40" xfId="0" applyFont="1" applyFill="1" applyBorder="1" applyAlignment="1">
      <alignment horizontal="center"/>
    </xf>
    <xf numFmtId="49" fontId="61" fillId="23" borderId="3" xfId="0" applyNumberFormat="1" applyFont="1" applyFill="1" applyBorder="1" applyAlignment="1">
      <alignment horizontal="center" vertical="center" wrapText="1"/>
    </xf>
    <xf numFmtId="0" fontId="51" fillId="0" borderId="4" xfId="0" applyFont="1" applyBorder="1"/>
    <xf numFmtId="0" fontId="51" fillId="0" borderId="6" xfId="0" applyFont="1" applyBorder="1"/>
    <xf numFmtId="0" fontId="51" fillId="0" borderId="12" xfId="0" applyFont="1" applyBorder="1"/>
    <xf numFmtId="0" fontId="58" fillId="15" borderId="3" xfId="0" applyFont="1" applyFill="1" applyBorder="1" applyAlignment="1">
      <alignment horizontal="center" vertical="top" wrapText="1"/>
    </xf>
    <xf numFmtId="0" fontId="51" fillId="0" borderId="5" xfId="0" applyFont="1" applyBorder="1"/>
    <xf numFmtId="0" fontId="51" fillId="0" borderId="10" xfId="0" applyFont="1" applyBorder="1"/>
    <xf numFmtId="0" fontId="51" fillId="0" borderId="11" xfId="0" applyFont="1" applyBorder="1"/>
    <xf numFmtId="0" fontId="51" fillId="0" borderId="9" xfId="0" applyFont="1" applyBorder="1"/>
    <xf numFmtId="0" fontId="58" fillId="9" borderId="3" xfId="0" applyFont="1" applyFill="1" applyBorder="1" applyAlignment="1">
      <alignment horizontal="center"/>
    </xf>
    <xf numFmtId="49" fontId="60" fillId="9" borderId="7" xfId="0" applyNumberFormat="1" applyFont="1" applyFill="1" applyBorder="1" applyAlignment="1">
      <alignment horizontal="center" wrapText="1"/>
    </xf>
    <xf numFmtId="0" fontId="51" fillId="0" borderId="8" xfId="0" applyFont="1" applyBorder="1"/>
    <xf numFmtId="0" fontId="58" fillId="9" borderId="0" xfId="0" applyFont="1" applyFill="1" applyAlignment="1">
      <alignment horizontal="center"/>
    </xf>
    <xf numFmtId="0" fontId="58" fillId="21" borderId="3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4" fillId="24" borderId="0" xfId="0" applyFont="1" applyFill="1" applyAlignment="1">
      <alignment horizontal="center" vertical="top" wrapText="1"/>
    </xf>
    <xf numFmtId="0" fontId="62" fillId="5" borderId="0" xfId="0" applyFont="1" applyFill="1" applyAlignment="1">
      <alignment horizontal="center" vertical="center" wrapText="1"/>
    </xf>
    <xf numFmtId="0" fontId="64" fillId="18" borderId="0" xfId="0" applyFont="1" applyFill="1" applyAlignment="1">
      <alignment horizontal="center" vertical="top" wrapText="1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53" fillId="8" borderId="0" xfId="0" applyFont="1" applyFill="1" applyAlignment="1">
      <alignment horizontal="center"/>
    </xf>
    <xf numFmtId="0" fontId="53" fillId="9" borderId="0" xfId="0" applyFont="1" applyFill="1" applyAlignment="1">
      <alignment horizontal="center"/>
    </xf>
    <xf numFmtId="0" fontId="10" fillId="29" borderId="0" xfId="0" applyFont="1" applyFill="1" applyAlignment="1">
      <alignment horizontal="center" vertical="top" wrapText="1"/>
    </xf>
    <xf numFmtId="0" fontId="51" fillId="26" borderId="0" xfId="0" applyFont="1" applyFill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51" fillId="0" borderId="13" xfId="0" applyFont="1" applyBorder="1"/>
    <xf numFmtId="0" fontId="77" fillId="19" borderId="0" xfId="0" applyFont="1" applyFill="1" applyAlignment="1">
      <alignment horizontal="center"/>
    </xf>
    <xf numFmtId="0" fontId="79" fillId="19" borderId="0" xfId="0" applyFont="1" applyFill="1" applyAlignment="1">
      <alignment horizontal="center"/>
    </xf>
    <xf numFmtId="0" fontId="51" fillId="31" borderId="0" xfId="0" applyFont="1" applyFill="1" applyAlignment="1">
      <alignment horizontal="center" vertical="center"/>
    </xf>
    <xf numFmtId="0" fontId="10" fillId="31" borderId="0" xfId="0" applyFont="1" applyFill="1" applyAlignment="1">
      <alignment horizontal="center" vertical="center" wrapText="1"/>
    </xf>
    <xf numFmtId="0" fontId="77" fillId="32" borderId="0" xfId="0" applyFont="1" applyFill="1" applyAlignment="1">
      <alignment horizontal="center"/>
    </xf>
    <xf numFmtId="0" fontId="1" fillId="52" borderId="16" xfId="0" applyFont="1" applyFill="1" applyBorder="1" applyAlignment="1">
      <alignment horizontal="center" vertical="center" wrapText="1"/>
    </xf>
    <xf numFmtId="3" fontId="1" fillId="52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52" borderId="19" xfId="0" applyFont="1" applyFill="1" applyBorder="1" applyAlignment="1">
      <alignment horizontal="center" vertical="top"/>
    </xf>
    <xf numFmtId="0" fontId="1" fillId="52" borderId="20" xfId="0" applyFont="1" applyFill="1" applyBorder="1" applyAlignment="1">
      <alignment horizontal="center" vertical="top"/>
    </xf>
    <xf numFmtId="0" fontId="1" fillId="52" borderId="21" xfId="0" applyFont="1" applyFill="1" applyBorder="1" applyAlignment="1">
      <alignment horizontal="center" vertical="top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13" fontId="24" fillId="0" borderId="18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vertical="center" wrapText="1"/>
    </xf>
    <xf numFmtId="3" fontId="24" fillId="0" borderId="18" xfId="0" applyNumberFormat="1" applyFont="1" applyFill="1" applyBorder="1" applyAlignment="1">
      <alignment horizontal="right" vertical="center" wrapText="1"/>
    </xf>
    <xf numFmtId="0" fontId="106" fillId="0" borderId="17" xfId="2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13" fontId="24" fillId="0" borderId="15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vertical="center" wrapText="1"/>
    </xf>
    <xf numFmtId="3" fontId="24" fillId="0" borderId="15" xfId="0" applyNumberFormat="1" applyFont="1" applyFill="1" applyBorder="1" applyAlignment="1">
      <alignment horizontal="right" vertical="center" wrapText="1"/>
    </xf>
    <xf numFmtId="0" fontId="106" fillId="0" borderId="14" xfId="2" applyFont="1" applyFill="1" applyBorder="1" applyAlignment="1">
      <alignment horizontal="center" vertical="center" wrapText="1"/>
    </xf>
    <xf numFmtId="0" fontId="107" fillId="0" borderId="14" xfId="2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13" fontId="24" fillId="0" borderId="23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vertical="center" wrapText="1"/>
    </xf>
    <xf numFmtId="194" fontId="24" fillId="0" borderId="23" xfId="1" applyNumberFormat="1" applyFont="1" applyFill="1" applyBorder="1" applyAlignment="1">
      <alignment horizontal="right" vertical="center" wrapText="1"/>
    </xf>
    <xf numFmtId="3" fontId="24" fillId="0" borderId="23" xfId="0" applyNumberFormat="1" applyFont="1" applyFill="1" applyBorder="1" applyAlignment="1">
      <alignment horizontal="right" vertical="center" wrapText="1"/>
    </xf>
    <xf numFmtId="0" fontId="106" fillId="0" borderId="22" xfId="2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13" fontId="24" fillId="0" borderId="46" xfId="0" applyNumberFormat="1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vertical="center" wrapText="1"/>
    </xf>
    <xf numFmtId="3" fontId="24" fillId="0" borderId="46" xfId="0" applyNumberFormat="1" applyFont="1" applyFill="1" applyBorder="1" applyAlignment="1">
      <alignment horizontal="right" vertical="center" wrapText="1"/>
    </xf>
    <xf numFmtId="0" fontId="106" fillId="0" borderId="45" xfId="2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13" fontId="24" fillId="0" borderId="28" xfId="0" applyNumberFormat="1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vertical="center" wrapText="1"/>
    </xf>
    <xf numFmtId="3" fontId="24" fillId="0" borderId="28" xfId="0" applyNumberFormat="1" applyFont="1" applyFill="1" applyBorder="1" applyAlignment="1">
      <alignment horizontal="right" vertical="center" wrapText="1"/>
    </xf>
    <xf numFmtId="0" fontId="106" fillId="0" borderId="29" xfId="2" applyFont="1" applyFill="1" applyBorder="1" applyAlignment="1">
      <alignment horizontal="center" vertical="center" wrapText="1"/>
    </xf>
    <xf numFmtId="49" fontId="24" fillId="0" borderId="4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vertical="top" wrapText="1"/>
    </xf>
    <xf numFmtId="3" fontId="1" fillId="0" borderId="16" xfId="0" applyNumberFormat="1" applyFont="1" applyFill="1" applyBorder="1" applyAlignment="1" applyProtection="1">
      <alignment horizontal="center" vertical="top" wrapText="1"/>
      <protection locked="0"/>
    </xf>
    <xf numFmtId="3" fontId="1" fillId="0" borderId="16" xfId="0" applyNumberFormat="1" applyFont="1" applyFill="1" applyBorder="1" applyAlignment="1" applyProtection="1">
      <alignment horizontal="right" vertical="top"/>
      <protection locked="0"/>
    </xf>
    <xf numFmtId="3" fontId="14" fillId="0" borderId="16" xfId="0" applyNumberFormat="1" applyFont="1" applyFill="1" applyBorder="1" applyAlignment="1" applyProtection="1">
      <alignment horizontal="center" vertical="top" wrapText="1"/>
      <protection locked="0"/>
    </xf>
    <xf numFmtId="3" fontId="24" fillId="0" borderId="15" xfId="0" applyNumberFormat="1" applyFont="1" applyFill="1" applyBorder="1" applyAlignment="1">
      <alignment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13" fontId="24" fillId="0" borderId="42" xfId="0" applyNumberFormat="1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vertical="center" wrapText="1"/>
    </xf>
    <xf numFmtId="3" fontId="24" fillId="0" borderId="42" xfId="0" applyNumberFormat="1" applyFont="1" applyFill="1" applyBorder="1" applyAlignment="1">
      <alignment horizontal="right" vertical="center" wrapText="1"/>
    </xf>
    <xf numFmtId="0" fontId="106" fillId="0" borderId="41" xfId="2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13" fontId="24" fillId="0" borderId="44" xfId="0" applyNumberFormat="1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vertical="center" wrapText="1"/>
    </xf>
    <xf numFmtId="3" fontId="24" fillId="0" borderId="44" xfId="0" applyNumberFormat="1" applyFont="1" applyFill="1" applyBorder="1" applyAlignment="1">
      <alignment vertical="center" wrapText="1"/>
    </xf>
    <xf numFmtId="0" fontId="106" fillId="0" borderId="43" xfId="2" applyFont="1" applyFill="1" applyBorder="1" applyAlignment="1">
      <alignment horizontal="center" vertical="center" wrapText="1"/>
    </xf>
    <xf numFmtId="0" fontId="14" fillId="0" borderId="16" xfId="1" applyNumberFormat="1" applyFont="1" applyFill="1" applyBorder="1" applyAlignment="1" applyProtection="1">
      <alignment horizontal="center" vertical="top" wrapText="1"/>
      <protection locked="0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49" fontId="24" fillId="0" borderId="25" xfId="0" applyNumberFormat="1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vertical="center" wrapText="1"/>
    </xf>
    <xf numFmtId="3" fontId="24" fillId="0" borderId="25" xfId="0" applyNumberFormat="1" applyFont="1" applyFill="1" applyBorder="1" applyAlignment="1">
      <alignment horizontal="right" vertical="center" wrapText="1"/>
    </xf>
    <xf numFmtId="3" fontId="14" fillId="0" borderId="26" xfId="0" applyNumberFormat="1" applyFont="1" applyFill="1" applyBorder="1" applyAlignment="1" applyProtection="1">
      <alignment horizontal="center" vertical="top" wrapText="1"/>
      <protection locked="0"/>
    </xf>
    <xf numFmtId="0" fontId="1" fillId="52" borderId="19" xfId="0" applyFont="1" applyFill="1" applyBorder="1" applyAlignment="1">
      <alignment horizontal="center"/>
    </xf>
    <xf numFmtId="0" fontId="1" fillId="52" borderId="20" xfId="0" applyFont="1" applyFill="1" applyBorder="1" applyAlignment="1">
      <alignment horizontal="center"/>
    </xf>
    <xf numFmtId="0" fontId="1" fillId="52" borderId="21" xfId="0" applyFont="1" applyFill="1" applyBorder="1" applyAlignment="1">
      <alignment horizontal="center"/>
    </xf>
    <xf numFmtId="0" fontId="1" fillId="0" borderId="16" xfId="0" applyFont="1" applyFill="1" applyBorder="1" applyAlignment="1">
      <alignment vertical="top" shrinkToFit="1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13" fontId="1" fillId="0" borderId="16" xfId="0" applyNumberFormat="1" applyFont="1" applyFill="1" applyBorder="1"/>
    <xf numFmtId="0" fontId="1" fillId="0" borderId="16" xfId="0" applyFont="1" applyFill="1" applyBorder="1" applyAlignment="1">
      <alignment horizontal="left"/>
    </xf>
    <xf numFmtId="0" fontId="1" fillId="0" borderId="16" xfId="0" applyFont="1" applyFill="1" applyBorder="1" applyAlignment="1" applyProtection="1">
      <alignment horizontal="center"/>
      <protection locked="0"/>
    </xf>
    <xf numFmtId="3" fontId="1" fillId="0" borderId="16" xfId="0" applyNumberFormat="1" applyFont="1" applyFill="1" applyBorder="1" applyAlignment="1" applyProtection="1">
      <alignment horizontal="right"/>
      <protection locked="0"/>
    </xf>
    <xf numFmtId="0" fontId="107" fillId="0" borderId="16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top"/>
    </xf>
    <xf numFmtId="0" fontId="24" fillId="0" borderId="16" xfId="0" applyFont="1" applyFill="1" applyBorder="1"/>
    <xf numFmtId="0" fontId="24" fillId="0" borderId="16" xfId="0" applyFont="1" applyFill="1" applyBorder="1" applyAlignment="1"/>
    <xf numFmtId="3" fontId="1" fillId="0" borderId="16" xfId="0" applyNumberFormat="1" applyFont="1" applyFill="1" applyBorder="1" applyAlignment="1">
      <alignment horizontal="center" vertical="top" wrapText="1"/>
    </xf>
    <xf numFmtId="3" fontId="1" fillId="0" borderId="16" xfId="0" applyNumberFormat="1" applyFont="1" applyFill="1" applyBorder="1" applyAlignment="1">
      <alignment horizontal="right" vertical="top"/>
    </xf>
    <xf numFmtId="0" fontId="24" fillId="0" borderId="16" xfId="0" applyFont="1" applyFill="1" applyBorder="1" applyAlignment="1">
      <alignment horizontal="center"/>
    </xf>
    <xf numFmtId="3" fontId="24" fillId="0" borderId="16" xfId="0" applyNumberFormat="1" applyFont="1" applyFill="1" applyBorder="1"/>
    <xf numFmtId="0" fontId="108" fillId="0" borderId="0" xfId="0" applyFont="1"/>
    <xf numFmtId="3" fontId="15" fillId="35" borderId="0" xfId="0" applyNumberFormat="1" applyFont="1" applyFill="1" applyAlignment="1">
      <alignment horizontal="center" vertical="top"/>
    </xf>
    <xf numFmtId="3" fontId="15" fillId="13" borderId="0" xfId="0" applyNumberFormat="1" applyFont="1" applyFill="1" applyAlignment="1">
      <alignment horizontal="center" vertical="top"/>
    </xf>
    <xf numFmtId="3" fontId="15" fillId="38" borderId="0" xfId="0" applyNumberFormat="1" applyFont="1" applyFill="1" applyAlignment="1">
      <alignment horizontal="center" vertical="top"/>
    </xf>
    <xf numFmtId="0" fontId="6" fillId="11" borderId="0" xfId="0" applyFont="1" applyFill="1"/>
    <xf numFmtId="0" fontId="6" fillId="11" borderId="0" xfId="0" applyFont="1" applyFill="1"/>
    <xf numFmtId="0" fontId="108" fillId="0" borderId="0" xfId="0" applyFont="1"/>
    <xf numFmtId="0" fontId="2" fillId="0" borderId="0" xfId="0" applyFont="1"/>
    <xf numFmtId="0" fontId="6" fillId="11" borderId="0" xfId="0" applyFont="1" applyFill="1" applyAlignment="1">
      <alignment horizontal="center"/>
    </xf>
    <xf numFmtId="0" fontId="2" fillId="11" borderId="0" xfId="0" applyFont="1" applyFill="1"/>
    <xf numFmtId="0" fontId="2" fillId="11" borderId="0" xfId="0" applyFont="1" applyFill="1"/>
    <xf numFmtId="0" fontId="87" fillId="42" borderId="0" xfId="0" applyFont="1" applyFill="1" applyAlignment="1">
      <alignment horizontal="left"/>
    </xf>
    <xf numFmtId="0" fontId="87" fillId="42" borderId="0" xfId="0" applyFont="1" applyFill="1"/>
    <xf numFmtId="0" fontId="108" fillId="0" borderId="0" xfId="0" applyFont="1" applyAlignment="1">
      <alignment vertical="top"/>
    </xf>
    <xf numFmtId="0" fontId="108" fillId="0" borderId="0" xfId="0" applyFont="1" applyAlignment="1"/>
    <xf numFmtId="0" fontId="2" fillId="51" borderId="0" xfId="0" applyFont="1" applyFill="1" applyAlignment="1">
      <alignment horizontal="center" vertical="top"/>
    </xf>
    <xf numFmtId="0" fontId="2" fillId="43" borderId="0" xfId="0" applyFont="1" applyFill="1" applyAlignment="1">
      <alignment horizontal="center" vertical="top"/>
    </xf>
    <xf numFmtId="0" fontId="108" fillId="0" borderId="0" xfId="0" applyFont="1" applyAlignment="1">
      <alignment horizontal="center"/>
    </xf>
    <xf numFmtId="3" fontId="108" fillId="0" borderId="0" xfId="0" applyNumberFormat="1" applyFont="1"/>
    <xf numFmtId="0" fontId="109" fillId="0" borderId="0" xfId="0" applyFont="1" applyAlignment="1">
      <alignment vertical="top"/>
    </xf>
    <xf numFmtId="0" fontId="110" fillId="0" borderId="0" xfId="0" applyFont="1" applyAlignment="1"/>
    <xf numFmtId="0" fontId="80" fillId="0" borderId="0" xfId="0" applyFont="1" applyAlignment="1">
      <alignment horizontal="left" vertical="top"/>
    </xf>
    <xf numFmtId="0" fontId="109" fillId="0" borderId="0" xfId="0" applyFont="1" applyAlignment="1"/>
    <xf numFmtId="0" fontId="80" fillId="0" borderId="0" xfId="0" applyFont="1" applyAlignment="1">
      <alignment vertical="top"/>
    </xf>
    <xf numFmtId="0" fontId="24" fillId="0" borderId="31" xfId="0" applyFont="1" applyFill="1" applyBorder="1" applyAlignment="1">
      <alignment horizontal="center" vertical="center" wrapText="1"/>
    </xf>
    <xf numFmtId="0" fontId="106" fillId="0" borderId="32" xfId="2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106" fillId="0" borderId="34" xfId="2" applyFont="1" applyFill="1" applyBorder="1" applyAlignment="1">
      <alignment horizontal="center" vertical="center" wrapText="1"/>
    </xf>
    <xf numFmtId="0" fontId="107" fillId="0" borderId="34" xfId="2" applyFont="1" applyFill="1" applyBorder="1" applyAlignment="1">
      <alignment horizontal="center" vertical="center" wrapText="1"/>
    </xf>
    <xf numFmtId="0" fontId="24" fillId="53" borderId="33" xfId="0" applyFont="1" applyFill="1" applyBorder="1" applyAlignment="1">
      <alignment horizontal="center" vertical="center" wrapText="1"/>
    </xf>
    <xf numFmtId="0" fontId="24" fillId="53" borderId="15" xfId="0" applyFont="1" applyFill="1" applyBorder="1" applyAlignment="1">
      <alignment horizontal="center" vertical="center" wrapText="1"/>
    </xf>
    <xf numFmtId="13" fontId="24" fillId="53" borderId="15" xfId="0" applyNumberFormat="1" applyFont="1" applyFill="1" applyBorder="1" applyAlignment="1">
      <alignment horizontal="center" vertical="center" wrapText="1"/>
    </xf>
    <xf numFmtId="0" fontId="24" fillId="53" borderId="15" xfId="0" applyFont="1" applyFill="1" applyBorder="1" applyAlignment="1">
      <alignment vertical="center" wrapText="1"/>
    </xf>
    <xf numFmtId="3" fontId="24" fillId="53" borderId="15" xfId="0" applyNumberFormat="1" applyFont="1" applyFill="1" applyBorder="1" applyAlignment="1">
      <alignment horizontal="right" vertical="center" wrapText="1"/>
    </xf>
    <xf numFmtId="0" fontId="106" fillId="53" borderId="34" xfId="2" applyFont="1" applyFill="1" applyBorder="1" applyAlignment="1">
      <alignment horizontal="center" vertical="center" wrapText="1"/>
    </xf>
    <xf numFmtId="0" fontId="24" fillId="53" borderId="35" xfId="0" applyFont="1" applyFill="1" applyBorder="1" applyAlignment="1">
      <alignment horizontal="center" vertical="center" wrapText="1"/>
    </xf>
    <xf numFmtId="0" fontId="24" fillId="53" borderId="23" xfId="0" applyFont="1" applyFill="1" applyBorder="1" applyAlignment="1">
      <alignment horizontal="center" vertical="center" wrapText="1"/>
    </xf>
    <xf numFmtId="13" fontId="24" fillId="53" borderId="23" xfId="0" applyNumberFormat="1" applyFont="1" applyFill="1" applyBorder="1" applyAlignment="1">
      <alignment horizontal="center" vertical="center" wrapText="1"/>
    </xf>
    <xf numFmtId="0" fontId="24" fillId="53" borderId="23" xfId="0" applyFont="1" applyFill="1" applyBorder="1" applyAlignment="1">
      <alignment vertical="center" wrapText="1"/>
    </xf>
    <xf numFmtId="194" fontId="24" fillId="53" borderId="23" xfId="1" applyNumberFormat="1" applyFont="1" applyFill="1" applyBorder="1" applyAlignment="1">
      <alignment horizontal="right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106" fillId="0" borderId="36" xfId="2" applyFont="1" applyFill="1" applyBorder="1" applyAlignment="1">
      <alignment horizontal="center" vertical="center" wrapText="1"/>
    </xf>
    <xf numFmtId="0" fontId="24" fillId="54" borderId="27" xfId="0" applyFont="1" applyFill="1" applyBorder="1" applyAlignment="1">
      <alignment horizontal="center" vertical="center" wrapText="1"/>
    </xf>
    <xf numFmtId="0" fontId="24" fillId="54" borderId="28" xfId="0" applyFont="1" applyFill="1" applyBorder="1" applyAlignment="1">
      <alignment horizontal="center" vertical="center" wrapText="1"/>
    </xf>
    <xf numFmtId="13" fontId="24" fillId="54" borderId="28" xfId="0" applyNumberFormat="1" applyFont="1" applyFill="1" applyBorder="1" applyAlignment="1">
      <alignment horizontal="center" vertical="center" wrapText="1"/>
    </xf>
    <xf numFmtId="0" fontId="24" fillId="54" borderId="28" xfId="0" applyFont="1" applyFill="1" applyBorder="1" applyAlignment="1">
      <alignment vertical="center" wrapText="1"/>
    </xf>
    <xf numFmtId="3" fontId="24" fillId="54" borderId="28" xfId="0" applyNumberFormat="1" applyFont="1" applyFill="1" applyBorder="1" applyAlignment="1">
      <alignment horizontal="right" vertical="center" wrapText="1"/>
    </xf>
    <xf numFmtId="0" fontId="106" fillId="54" borderId="21" xfId="2" applyFont="1" applyFill="1" applyBorder="1" applyAlignment="1">
      <alignment horizontal="center"/>
    </xf>
    <xf numFmtId="3" fontId="24" fillId="0" borderId="23" xfId="0" applyNumberFormat="1" applyFont="1" applyFill="1" applyBorder="1" applyAlignment="1">
      <alignment vertical="center" wrapText="1"/>
    </xf>
    <xf numFmtId="0" fontId="1" fillId="53" borderId="16" xfId="0" applyFont="1" applyFill="1" applyBorder="1" applyAlignment="1">
      <alignment horizontal="center" vertical="top"/>
    </xf>
    <xf numFmtId="49" fontId="1" fillId="53" borderId="16" xfId="0" applyNumberFormat="1" applyFont="1" applyFill="1" applyBorder="1" applyAlignment="1">
      <alignment horizontal="center" vertical="top"/>
    </xf>
    <xf numFmtId="0" fontId="1" fillId="53" borderId="16" xfId="0" applyFont="1" applyFill="1" applyBorder="1" applyAlignment="1">
      <alignment vertical="top" wrapText="1"/>
    </xf>
    <xf numFmtId="3" fontId="1" fillId="53" borderId="16" xfId="0" applyNumberFormat="1" applyFont="1" applyFill="1" applyBorder="1" applyAlignment="1" applyProtection="1">
      <alignment horizontal="center" vertical="top" wrapText="1"/>
      <protection locked="0"/>
    </xf>
    <xf numFmtId="3" fontId="1" fillId="53" borderId="16" xfId="0" applyNumberFormat="1" applyFont="1" applyFill="1" applyBorder="1" applyAlignment="1" applyProtection="1">
      <alignment horizontal="right" vertical="top"/>
      <protection locked="0"/>
    </xf>
    <xf numFmtId="3" fontId="14" fillId="53" borderId="16" xfId="0" applyNumberFormat="1" applyFont="1" applyFill="1" applyBorder="1" applyAlignment="1" applyProtection="1">
      <alignment horizontal="center" vertical="top" wrapText="1"/>
      <protection locked="0"/>
    </xf>
    <xf numFmtId="0" fontId="24" fillId="0" borderId="37" xfId="0" applyFont="1" applyFill="1" applyBorder="1" applyAlignment="1">
      <alignment horizontal="center" vertical="center" wrapText="1"/>
    </xf>
    <xf numFmtId="13" fontId="24" fillId="0" borderId="25" xfId="0" applyNumberFormat="1" applyFont="1" applyFill="1" applyBorder="1" applyAlignment="1">
      <alignment horizontal="center" vertical="center" wrapText="1"/>
    </xf>
    <xf numFmtId="0" fontId="1" fillId="54" borderId="16" xfId="0" applyFont="1" applyFill="1" applyBorder="1" applyAlignment="1">
      <alignment horizontal="center" vertical="top"/>
    </xf>
    <xf numFmtId="49" fontId="1" fillId="54" borderId="16" xfId="0" applyNumberFormat="1" applyFont="1" applyFill="1" applyBorder="1" applyAlignment="1">
      <alignment horizontal="center" vertical="top"/>
    </xf>
    <xf numFmtId="0" fontId="1" fillId="54" borderId="16" xfId="0" applyFont="1" applyFill="1" applyBorder="1" applyAlignment="1">
      <alignment vertical="top" wrapText="1"/>
    </xf>
    <xf numFmtId="3" fontId="1" fillId="54" borderId="16" xfId="0" applyNumberFormat="1" applyFont="1" applyFill="1" applyBorder="1" applyAlignment="1" applyProtection="1">
      <alignment horizontal="center" vertical="top" wrapText="1"/>
      <protection locked="0"/>
    </xf>
    <xf numFmtId="3" fontId="1" fillId="54" borderId="16" xfId="0" applyNumberFormat="1" applyFont="1" applyFill="1" applyBorder="1" applyAlignment="1" applyProtection="1">
      <alignment horizontal="right" vertical="top"/>
      <protection locked="0"/>
    </xf>
    <xf numFmtId="3" fontId="14" fillId="54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/>
  </cellXfs>
  <cellStyles count="3">
    <cellStyle name="Hyperlink" xfId="2" builtinId="8"/>
    <cellStyle name="จุลภาค" xfId="1" builtinId="3"/>
    <cellStyle name="ปกติ" xfId="0" builtinId="0"/>
  </cellStyles>
  <dxfs count="346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B45F06"/>
          <bgColor rgb="FFB45F06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B45F06"/>
          <bgColor rgb="FFB45F06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B45F06"/>
          <bgColor rgb="FFB45F06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B45F06"/>
          <bgColor rgb="FFB45F06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B45F06"/>
          <bgColor rgb="FFB45F06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B45F06"/>
          <bgColor rgb="FFB45F06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B45F06"/>
          <bgColor rgb="FFB45F06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B45F06"/>
          <bgColor rgb="FFB45F06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B45F06"/>
          <bgColor rgb="FFB45F06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B45F06"/>
          <bgColor rgb="FFB45F06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B45F06"/>
          <bgColor rgb="FFB45F06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B45F06"/>
          <bgColor rgb="FFB45F06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B45F06"/>
          <bgColor rgb="FFB45F06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B45F06"/>
          <bgColor rgb="FFB45F06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B45F06"/>
          <bgColor rgb="FFB45F06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B45F06"/>
          <bgColor rgb="FFB45F06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B45F06"/>
          <bgColor rgb="FFB45F06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B45F06"/>
          <bgColor rgb="FFB45F06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B45F06"/>
          <bgColor rgb="FFB45F06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B45F06"/>
          <bgColor rgb="FFB45F06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B45F06"/>
          <bgColor rgb="FFB45F06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B45F06"/>
          <bgColor rgb="FFB45F06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B45F06"/>
          <bgColor rgb="FFB45F06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CC4125"/>
          <bgColor rgb="FFCC4125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D9EAD3"/>
      </font>
      <fill>
        <patternFill patternType="none"/>
      </fill>
    </dxf>
    <dxf>
      <fill>
        <patternFill patternType="solid">
          <fgColor rgb="FFB45F06"/>
          <bgColor rgb="FFB45F06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45F06"/>
          <bgColor rgb="FFB45F06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A4C2F4"/>
          <bgColor rgb="FFA4C2F4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D9EAD3"/>
      </font>
      <fill>
        <patternFill patternType="none"/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45F06"/>
          <bgColor rgb="FFB45F06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A4C2F4"/>
          <bgColor rgb="FFA4C2F4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F9CB9C"/>
          <bgColor rgb="FFF9CB9C"/>
        </patternFill>
      </fill>
    </dxf>
    <dxf>
      <font>
        <color rgb="FFD9EAD3"/>
      </font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45F06"/>
          <bgColor rgb="FFB45F06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A4C2F4"/>
          <bgColor rgb="FFA4C2F4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9CB9C"/>
          <bgColor rgb="FFF9CB9C"/>
        </patternFill>
      </fill>
    </dxf>
    <dxf>
      <font>
        <color rgb="FFD9EAD3"/>
      </font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45F06"/>
          <bgColor rgb="FFB45F06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A4C2F4"/>
          <bgColor rgb="FFA4C2F4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9CB9C"/>
          <bgColor rgb="FFF9CB9C"/>
        </patternFill>
      </fill>
    </dxf>
    <dxf>
      <font>
        <color rgb="FFD9EAD3"/>
      </font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45F06"/>
          <bgColor rgb="FFB45F06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A4C2F4"/>
          <bgColor rgb="FFA4C2F4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F9CB9C"/>
          <bgColor rgb="FFF9CB9C"/>
        </patternFill>
      </fill>
    </dxf>
    <dxf>
      <font>
        <color rgb="FFD9EAD3"/>
      </font>
      <fill>
        <patternFill patternType="none"/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9CB9C"/>
          <bgColor rgb="FFF9CB9C"/>
        </patternFill>
      </fill>
    </dxf>
    <dxf>
      <font>
        <color rgb="FFD9EAD3"/>
      </font>
      <fill>
        <patternFill patternType="none"/>
      </fill>
    </dxf>
    <dxf>
      <fill>
        <patternFill patternType="solid">
          <fgColor rgb="FFF9CB9C"/>
          <bgColor rgb="FFF9CB9C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45F06"/>
          <bgColor rgb="FFB45F06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45F06"/>
          <bgColor rgb="FFB45F06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A4C2F4"/>
          <bgColor rgb="FFA4C2F4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ill>
        <patternFill patternType="solid">
          <fgColor rgb="FFEA9999"/>
          <bgColor rgb="FFEA9999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9CB9C"/>
          <bgColor rgb="FFF9CB9C"/>
        </patternFill>
      </fill>
    </dxf>
    <dxf>
      <font>
        <color rgb="FFD9EAD3"/>
      </font>
      <fill>
        <patternFill patternType="none"/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9CB9C"/>
          <bgColor rgb="FFF9CB9C"/>
        </patternFill>
      </fill>
    </dxf>
    <dxf>
      <font>
        <color rgb="FFD9EAD3"/>
      </font>
      <fill>
        <patternFill patternType="none"/>
      </fill>
    </dxf>
    <dxf>
      <fill>
        <patternFill patternType="solid">
          <fgColor rgb="FFF9CB9C"/>
          <bgColor rgb="FFF9CB9C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45F06"/>
          <bgColor rgb="FFB45F06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45F06"/>
          <bgColor rgb="FFB45F06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A4C2F4"/>
          <bgColor rgb="FFA4C2F4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ill>
        <patternFill patternType="solid">
          <fgColor rgb="FFEA9999"/>
          <bgColor rgb="FFEA9999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9CB9C"/>
          <bgColor rgb="FFF9CB9C"/>
        </patternFill>
      </fill>
    </dxf>
    <dxf>
      <font>
        <color rgb="FFD9EAD3"/>
      </font>
      <fill>
        <patternFill patternType="none"/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</dxfs>
  <tableStyles count="0" defaultTableStyle="TableStyleMedium2" defaultPivotStyle="PivotStyleLight16"/>
  <colors>
    <mruColors>
      <color rgb="FFFEA4A4"/>
      <color rgb="FF99FF33"/>
      <color rgb="FF3838F0"/>
      <color rgb="FFE1A8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07;&#3604;&#3626;&#3629;&#3610;&#3649;&#3585;&#3657;&#3652;&#3586;&#3592;&#3634;&#3585;&#3585;&#3634;&#3619;&#3611;&#3619;&#3632;&#3594;&#3640;&#3617;%2012-02-6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26;&#3648;&#3611;&#3588;&#3648;&#3593;&#3614;&#3634;&#3632;&#3585;&#3636;&#3592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ทดสอบแก้ไขจากการประชุม 12-02-6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เปคเฉพาะกิ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apidtables.com/electric/dBm.htm" TargetMode="External"/><Relationship Id="rId2" Type="http://schemas.openxmlformats.org/officeDocument/2006/relationships/hyperlink" Target="https://www.google.co.th/url?sa=t&amp;rct=j&amp;q=&amp;esrc=s&amp;source=web&amp;cd=5&amp;ved=0ahUKEwjunZi9oLPMAhUHW5QKHfVOBiEQFggyMAQ&amp;url=https%3A%2F%2Fth.wikipedia.org%2Fwiki%2F%25E0%25B9%2582%25E0%25B8%25A7%25E0%25B8%25A5%25E0%25B8%2595%25E0%25B9%258C&amp;usg=AFQjCNGFi69Fnsrh41GKFxzaGt-FByoQtw&amp;sig2=eo6nyDsJv3qn2cuHBF2Wjw" TargetMode="External"/><Relationship Id="rId1" Type="http://schemas.openxmlformats.org/officeDocument/2006/relationships/hyperlink" Target="https://th.wikipedia.org/wiki/%E0%B8%88%E0%B8%B4%E0%B8%81%E0%B8%B0%E0%B9%84%E0%B8%9A%E0%B8%95%E0%B9%8C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0B2rLR4BADrBtcnlUNnJwd2Rua3c" TargetMode="External"/><Relationship Id="rId18" Type="http://schemas.openxmlformats.org/officeDocument/2006/relationships/hyperlink" Target="https://drive.google.com/open?id=0B2rLR4BADrBtTFd4NHpveWVRejQ" TargetMode="External"/><Relationship Id="rId26" Type="http://schemas.openxmlformats.org/officeDocument/2006/relationships/hyperlink" Target="https://drive.google.com/open?id=0B2rLR4BADrBtQWpSdUx2a0oxczg" TargetMode="External"/><Relationship Id="rId3" Type="http://schemas.openxmlformats.org/officeDocument/2006/relationships/hyperlink" Target="https://drive.google.com/open?id=0B2vBTVEfSzItVDBzc3RwZ2F5SGM" TargetMode="External"/><Relationship Id="rId21" Type="http://schemas.openxmlformats.org/officeDocument/2006/relationships/hyperlink" Target="https://drive.google.com/open?id=0B2rLR4BADrBtdG1RQTR2QTF5R1E" TargetMode="External"/><Relationship Id="rId34" Type="http://schemas.openxmlformats.org/officeDocument/2006/relationships/hyperlink" Target="https://drive.google.com/open?id=1KQe81ndxnboVCQ2wDiN-5qHbLV8orSNV" TargetMode="External"/><Relationship Id="rId7" Type="http://schemas.openxmlformats.org/officeDocument/2006/relationships/hyperlink" Target="https://drive.google.com/open?id=0B2rLR4BADrBtallTanYxUTQ0eXc" TargetMode="External"/><Relationship Id="rId12" Type="http://schemas.openxmlformats.org/officeDocument/2006/relationships/hyperlink" Target="https://drive.google.com/open?id=1zhu8FHz5kc6dijTB33dmeY5tfh77gOUh" TargetMode="External"/><Relationship Id="rId17" Type="http://schemas.openxmlformats.org/officeDocument/2006/relationships/hyperlink" Target="https://drive.google.com/open?id=0B2rLR4BADrBtT3gwb3hYWjY3Qzg" TargetMode="External"/><Relationship Id="rId25" Type="http://schemas.openxmlformats.org/officeDocument/2006/relationships/hyperlink" Target="https://drive.google.com/open?id=0B2vBTVEfSzItRjBoaWdNb3JlbW8" TargetMode="External"/><Relationship Id="rId33" Type="http://schemas.openxmlformats.org/officeDocument/2006/relationships/hyperlink" Target="https://drive.google.com/open?id=0B2rLR4BADrBtR1JUbUVIbHBQdE0" TargetMode="External"/><Relationship Id="rId2" Type="http://schemas.openxmlformats.org/officeDocument/2006/relationships/hyperlink" Target="https://drive.google.com/open?id=0B2vBTVEfSzItZzBYV2cyTGtJLTA" TargetMode="External"/><Relationship Id="rId16" Type="http://schemas.openxmlformats.org/officeDocument/2006/relationships/hyperlink" Target="https://drive.google.com/open?id=0B2rLR4BADrBtR1JUbUVIbHBQdE0" TargetMode="External"/><Relationship Id="rId20" Type="http://schemas.openxmlformats.org/officeDocument/2006/relationships/hyperlink" Target="https://drive.google.com/open?id=0B2rLR4BADrBtTFd4NHpveWVRejQ" TargetMode="External"/><Relationship Id="rId29" Type="http://schemas.openxmlformats.org/officeDocument/2006/relationships/hyperlink" Target="https://drive.google.com/open?id=0B2vBTVEfSzItME90d1dqTjBGZGs" TargetMode="External"/><Relationship Id="rId1" Type="http://schemas.openxmlformats.org/officeDocument/2006/relationships/hyperlink" Target="https://drive.google.com/open?id=1VdHj9VjX4_igB-pTZwbN0-0PYtbtaFJX" TargetMode="External"/><Relationship Id="rId6" Type="http://schemas.openxmlformats.org/officeDocument/2006/relationships/hyperlink" Target="https://drive.google.com/open?id=0B2rLR4BADrBtN1BLSnNrSHR1SUE" TargetMode="External"/><Relationship Id="rId11" Type="http://schemas.openxmlformats.org/officeDocument/2006/relationships/hyperlink" Target="https://drive.google.com/open?id=0B2vBTVEfSzItQnlzZ2dwSVU3Nm8" TargetMode="External"/><Relationship Id="rId24" Type="http://schemas.openxmlformats.org/officeDocument/2006/relationships/hyperlink" Target="https://drive.google.com/file/d/1pKHBgNrqeSlTXQiJ89vNQxpyFoKbN5WZ/view?usp=sharing" TargetMode="External"/><Relationship Id="rId32" Type="http://schemas.openxmlformats.org/officeDocument/2006/relationships/hyperlink" Target="https://drive.google.com/open?id=0B2vBTVEfSzItWWFhdUNacTUtMnM" TargetMode="External"/><Relationship Id="rId5" Type="http://schemas.openxmlformats.org/officeDocument/2006/relationships/hyperlink" Target="https://drive.google.com/open?id=1tbmxLDs2XdlTjG_MbgoWNjMI-uWEYO6s" TargetMode="External"/><Relationship Id="rId15" Type="http://schemas.openxmlformats.org/officeDocument/2006/relationships/hyperlink" Target="https://drive.google.com/open?id=0B2rLR4BADrBtSTVSam9qQ1QwNlE" TargetMode="External"/><Relationship Id="rId23" Type="http://schemas.openxmlformats.org/officeDocument/2006/relationships/hyperlink" Target="https://drive.google.com/file/d/15ESC8cXjsJkafs8RLoJOKzvMwZmu0bUy/view?usp=sharing" TargetMode="External"/><Relationship Id="rId28" Type="http://schemas.openxmlformats.org/officeDocument/2006/relationships/hyperlink" Target="https://drive.google.com/open?id=0B2rLR4BADrBtNTFZWkdGaWZYWG8" TargetMode="External"/><Relationship Id="rId10" Type="http://schemas.openxmlformats.org/officeDocument/2006/relationships/hyperlink" Target="https://drive.google.com/open?id=1d-colTudNLeYNW53-LZTFcfJ5Hj_cb1k" TargetMode="External"/><Relationship Id="rId19" Type="http://schemas.openxmlformats.org/officeDocument/2006/relationships/hyperlink" Target="https://drive.google.com/open?id=0B2rLR4BADrBtT3gwb3hYWjY3Qzg" TargetMode="External"/><Relationship Id="rId31" Type="http://schemas.openxmlformats.org/officeDocument/2006/relationships/hyperlink" Target="https://drive.google.com/open?id=1zXwF20wl-SN960KREf7OXsDJIuaLLZft" TargetMode="External"/><Relationship Id="rId4" Type="http://schemas.openxmlformats.org/officeDocument/2006/relationships/hyperlink" Target="https://drive.google.com/open?id=1KQe81ndxnboVCQ2wDiN-5qHbLV8orSNV" TargetMode="External"/><Relationship Id="rId9" Type="http://schemas.openxmlformats.org/officeDocument/2006/relationships/hyperlink" Target="https://drive.google.com/open?id=0B2vBTVEfSzItN0l1dkZGekVwNmM" TargetMode="External"/><Relationship Id="rId14" Type="http://schemas.openxmlformats.org/officeDocument/2006/relationships/hyperlink" Target="https://drive.google.com/open?id=1c9ROm4HUcAc15S4MXmpkFN2sBo4k3rwu" TargetMode="External"/><Relationship Id="rId22" Type="http://schemas.openxmlformats.org/officeDocument/2006/relationships/hyperlink" Target="https://drive.google.com/open?id=1ufQfoDiiaYCbrJzN3VHB6iPNKKG93CRr" TargetMode="External"/><Relationship Id="rId27" Type="http://schemas.openxmlformats.org/officeDocument/2006/relationships/hyperlink" Target="https://drive.google.com/open?id=0B2vBTVEfSzItS21fd2RzWFAxZE0" TargetMode="External"/><Relationship Id="rId30" Type="http://schemas.openxmlformats.org/officeDocument/2006/relationships/hyperlink" Target="https://drive.google.com/open?id=1r_CIVuHpalaal0RW_5rYR3_kL0HSK31y" TargetMode="External"/><Relationship Id="rId35" Type="http://schemas.openxmlformats.org/officeDocument/2006/relationships/printerSettings" Target="../printerSettings/printerSettings5.bin"/><Relationship Id="rId8" Type="http://schemas.openxmlformats.org/officeDocument/2006/relationships/hyperlink" Target="https://drive.google.com/open?id=0B2rLR4BADrBtbmVab1pNaDZHcFU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0B2rLR4BADrBtcnlUNnJwd2Rua3c" TargetMode="External"/><Relationship Id="rId18" Type="http://schemas.openxmlformats.org/officeDocument/2006/relationships/hyperlink" Target="https://drive.google.com/open?id=0B2rLR4BADrBtTFd4NHpveWVRejQ" TargetMode="External"/><Relationship Id="rId26" Type="http://schemas.openxmlformats.org/officeDocument/2006/relationships/hyperlink" Target="https://drive.google.com/open?id=0B2vBTVEfSzItS21fd2RzWFAxZE0" TargetMode="External"/><Relationship Id="rId3" Type="http://schemas.openxmlformats.org/officeDocument/2006/relationships/hyperlink" Target="https://drive.google.com/open?id=0B2vBTVEfSzItVDBzc3RwZ2F5SGM" TargetMode="External"/><Relationship Id="rId21" Type="http://schemas.openxmlformats.org/officeDocument/2006/relationships/hyperlink" Target="https://drive.google.com/open?id=1ufQfoDiiaYCbrJzN3VHB6iPNKKG93CRr" TargetMode="External"/><Relationship Id="rId34" Type="http://schemas.openxmlformats.org/officeDocument/2006/relationships/printerSettings" Target="../printerSettings/printerSettings6.bin"/><Relationship Id="rId7" Type="http://schemas.openxmlformats.org/officeDocument/2006/relationships/hyperlink" Target="https://drive.google.com/open?id=0B2rLR4BADrBtallTanYxUTQ0eXc" TargetMode="External"/><Relationship Id="rId12" Type="http://schemas.openxmlformats.org/officeDocument/2006/relationships/hyperlink" Target="https://drive.google.com/open?id=1zhu8FHz5kc6dijTB33dmeY5tfh77gOUh" TargetMode="External"/><Relationship Id="rId17" Type="http://schemas.openxmlformats.org/officeDocument/2006/relationships/hyperlink" Target="https://drive.google.com/open?id=0B2rLR4BADrBtT3gwb3hYWjY3Qzg" TargetMode="External"/><Relationship Id="rId25" Type="http://schemas.openxmlformats.org/officeDocument/2006/relationships/hyperlink" Target="https://drive.google.com/open?id=0B2rLR4BADrBtQWpSdUx2a0oxczg" TargetMode="External"/><Relationship Id="rId33" Type="http://schemas.openxmlformats.org/officeDocument/2006/relationships/hyperlink" Target="https://drive.google.com/open?id=1KQe81ndxnboVCQ2wDiN-5qHbLV8orSNV" TargetMode="External"/><Relationship Id="rId2" Type="http://schemas.openxmlformats.org/officeDocument/2006/relationships/hyperlink" Target="https://drive.google.com/open?id=0B2vBTVEfSzItZzBYV2cyTGtJLTA" TargetMode="External"/><Relationship Id="rId16" Type="http://schemas.openxmlformats.org/officeDocument/2006/relationships/hyperlink" Target="https://drive.google.com/open?id=0B2rLR4BADrBtR1JUbUVIbHBQdE0" TargetMode="External"/><Relationship Id="rId20" Type="http://schemas.openxmlformats.org/officeDocument/2006/relationships/hyperlink" Target="https://drive.google.com/open?id=0B2rLR4BADrBtTFd4NHpveWVRejQ" TargetMode="External"/><Relationship Id="rId29" Type="http://schemas.openxmlformats.org/officeDocument/2006/relationships/hyperlink" Target="https://drive.google.com/open?id=1r_CIVuHpalaal0RW_5rYR3_kL0HSK31y" TargetMode="External"/><Relationship Id="rId1" Type="http://schemas.openxmlformats.org/officeDocument/2006/relationships/hyperlink" Target="https://drive.google.com/open?id=1VdHj9VjX4_igB-pTZwbN0-0PYtbtaFJX" TargetMode="External"/><Relationship Id="rId6" Type="http://schemas.openxmlformats.org/officeDocument/2006/relationships/hyperlink" Target="https://drive.google.com/open?id=0B2rLR4BADrBtN1BLSnNrSHR1SUE" TargetMode="External"/><Relationship Id="rId11" Type="http://schemas.openxmlformats.org/officeDocument/2006/relationships/hyperlink" Target="https://drive.google.com/open?id=0B2vBTVEfSzItQnlzZ2dwSVU3Nm8" TargetMode="External"/><Relationship Id="rId24" Type="http://schemas.openxmlformats.org/officeDocument/2006/relationships/hyperlink" Target="https://drive.google.com/open?id=0B2vBTVEfSzItRjBoaWdNb3JlbW8" TargetMode="External"/><Relationship Id="rId32" Type="http://schemas.openxmlformats.org/officeDocument/2006/relationships/hyperlink" Target="https://drive.google.com/open?id=0B2rLR4BADrBtR1JUbUVIbHBQdE0" TargetMode="External"/><Relationship Id="rId5" Type="http://schemas.openxmlformats.org/officeDocument/2006/relationships/hyperlink" Target="https://drive.google.com/open?id=1tbmxLDs2XdlTjG_MbgoWNjMI-uWEYO6s" TargetMode="External"/><Relationship Id="rId15" Type="http://schemas.openxmlformats.org/officeDocument/2006/relationships/hyperlink" Target="https://drive.google.com/open?id=0B2rLR4BADrBtSTVSam9qQ1QwNlE" TargetMode="External"/><Relationship Id="rId23" Type="http://schemas.openxmlformats.org/officeDocument/2006/relationships/hyperlink" Target="https://drive.google.com/file/d/1pKHBgNrqeSlTXQiJ89vNQxpyFoKbN5WZ/view?usp=sharing" TargetMode="External"/><Relationship Id="rId28" Type="http://schemas.openxmlformats.org/officeDocument/2006/relationships/hyperlink" Target="https://drive.google.com/open?id=0B2vBTVEfSzItME90d1dqTjBGZGs" TargetMode="External"/><Relationship Id="rId10" Type="http://schemas.openxmlformats.org/officeDocument/2006/relationships/hyperlink" Target="https://drive.google.com/open?id=1d-colTudNLeYNW53-LZTFcfJ5Hj_cb1k" TargetMode="External"/><Relationship Id="rId19" Type="http://schemas.openxmlformats.org/officeDocument/2006/relationships/hyperlink" Target="https://drive.google.com/open?id=0B2rLR4BADrBtT3gwb3hYWjY3Qzg" TargetMode="External"/><Relationship Id="rId31" Type="http://schemas.openxmlformats.org/officeDocument/2006/relationships/hyperlink" Target="https://drive.google.com/open?id=0B2vBTVEfSzItWWFhdUNacTUtMnM" TargetMode="External"/><Relationship Id="rId4" Type="http://schemas.openxmlformats.org/officeDocument/2006/relationships/hyperlink" Target="https://drive.google.com/open?id=1KQe81ndxnboVCQ2wDiN-5qHbLV8orSNV" TargetMode="External"/><Relationship Id="rId9" Type="http://schemas.openxmlformats.org/officeDocument/2006/relationships/hyperlink" Target="https://drive.google.com/open?id=0B2vBTVEfSzItN0l1dkZGekVwNmM" TargetMode="External"/><Relationship Id="rId14" Type="http://schemas.openxmlformats.org/officeDocument/2006/relationships/hyperlink" Target="https://drive.google.com/open?id=1c9ROm4HUcAc15S4MXmpkFN2sBo4k3rwu" TargetMode="External"/><Relationship Id="rId22" Type="http://schemas.openxmlformats.org/officeDocument/2006/relationships/hyperlink" Target="https://drive.google.com/file/d/15ESC8cXjsJkafs8RLoJOKzvMwZmu0bUy/view?usp=sharing" TargetMode="External"/><Relationship Id="rId27" Type="http://schemas.openxmlformats.org/officeDocument/2006/relationships/hyperlink" Target="https://drive.google.com/open?id=0B2rLR4BADrBtNTFZWkdGaWZYWG8" TargetMode="External"/><Relationship Id="rId30" Type="http://schemas.openxmlformats.org/officeDocument/2006/relationships/hyperlink" Target="https://drive.google.com/open?id=1zXwF20wl-SN960KREf7OXsDJIuaLLZft" TargetMode="External"/><Relationship Id="rId8" Type="http://schemas.openxmlformats.org/officeDocument/2006/relationships/hyperlink" Target="https://drive.google.com/open?id=0B2rLR4BADrBtbmVab1pNaDZHcFU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0B2rLR4BADrBtcnlUNnJwd2Rua3c" TargetMode="External"/><Relationship Id="rId18" Type="http://schemas.openxmlformats.org/officeDocument/2006/relationships/hyperlink" Target="https://drive.google.com/open?id=0B2rLR4BADrBtTFd4NHpveWVRejQ" TargetMode="External"/><Relationship Id="rId26" Type="http://schemas.openxmlformats.org/officeDocument/2006/relationships/hyperlink" Target="https://drive.google.com/open?id=0B2rLR4BADrBtNTFZWkdGaWZYWG8" TargetMode="External"/><Relationship Id="rId21" Type="http://schemas.openxmlformats.org/officeDocument/2006/relationships/hyperlink" Target="https://drive.google.com/open?id=1ufQfoDiiaYCbrJzN3VHB6iPNKKG93CRr" TargetMode="External"/><Relationship Id="rId34" Type="http://schemas.openxmlformats.org/officeDocument/2006/relationships/hyperlink" Target="https://drive.google.com/open?id=0B2rLR4BADrBtcnlUNnJwd2Rua3c" TargetMode="External"/><Relationship Id="rId7" Type="http://schemas.openxmlformats.org/officeDocument/2006/relationships/hyperlink" Target="https://drive.google.com/open?id=0B2rLR4BADrBtallTanYxUTQ0eXc" TargetMode="External"/><Relationship Id="rId12" Type="http://schemas.openxmlformats.org/officeDocument/2006/relationships/hyperlink" Target="https://drive.google.com/open?id=1zhu8FHz5kc6dijTB33dmeY5tfh77gOUh" TargetMode="External"/><Relationship Id="rId17" Type="http://schemas.openxmlformats.org/officeDocument/2006/relationships/hyperlink" Target="https://drive.google.com/open?id=0B2rLR4BADrBtT3gwb3hYWjY3Qzg" TargetMode="External"/><Relationship Id="rId25" Type="http://schemas.openxmlformats.org/officeDocument/2006/relationships/hyperlink" Target="https://drive.google.com/open?id=0B2rLR4BADrBtQWpSdUx2a0oxczg" TargetMode="External"/><Relationship Id="rId33" Type="http://schemas.openxmlformats.org/officeDocument/2006/relationships/hyperlink" Target="https://drive.google.com/open?id=0B2rLR4BADrBtNTFZWkdGaWZYWG8" TargetMode="External"/><Relationship Id="rId2" Type="http://schemas.openxmlformats.org/officeDocument/2006/relationships/hyperlink" Target="https://drive.google.com/open?id=0B2vBTVEfSzItZzBYV2cyTGtJLTA" TargetMode="External"/><Relationship Id="rId16" Type="http://schemas.openxmlformats.org/officeDocument/2006/relationships/hyperlink" Target="https://drive.google.com/open?id=0B2rLR4BADrBtR1JUbUVIbHBQdE0" TargetMode="External"/><Relationship Id="rId20" Type="http://schemas.openxmlformats.org/officeDocument/2006/relationships/hyperlink" Target="https://drive.google.com/open?id=0B2rLR4BADrBtTFd4NHpveWVRejQ" TargetMode="External"/><Relationship Id="rId29" Type="http://schemas.openxmlformats.org/officeDocument/2006/relationships/hyperlink" Target="https://drive.google.com/open?id=1zXwF20wl-SN960KREf7OXsDJIuaLLZft" TargetMode="External"/><Relationship Id="rId1" Type="http://schemas.openxmlformats.org/officeDocument/2006/relationships/hyperlink" Target="https://drive.google.com/open?id=1VdHj9VjX4_igB-pTZwbN0-0PYtbtaFJX" TargetMode="External"/><Relationship Id="rId6" Type="http://schemas.openxmlformats.org/officeDocument/2006/relationships/hyperlink" Target="https://drive.google.com/open?id=0B2rLR4BADrBtN1BLSnNrSHR1SUE" TargetMode="External"/><Relationship Id="rId11" Type="http://schemas.openxmlformats.org/officeDocument/2006/relationships/hyperlink" Target="https://drive.google.com/open?id=0B2vBTVEfSzItQnlzZ2dwSVU3Nm8" TargetMode="External"/><Relationship Id="rId24" Type="http://schemas.openxmlformats.org/officeDocument/2006/relationships/hyperlink" Target="https://drive.google.com/open?id=0B2vBTVEfSzItRjBoaWdNb3JlbW8" TargetMode="External"/><Relationship Id="rId32" Type="http://schemas.openxmlformats.org/officeDocument/2006/relationships/hyperlink" Target="https://drive.google.com/open?id=1KQe81ndxnboVCQ2wDiN-5qHbLV8orSNV" TargetMode="External"/><Relationship Id="rId37" Type="http://schemas.openxmlformats.org/officeDocument/2006/relationships/printerSettings" Target="../printerSettings/printerSettings7.bin"/><Relationship Id="rId5" Type="http://schemas.openxmlformats.org/officeDocument/2006/relationships/hyperlink" Target="https://drive.google.com/open?id=1tbmxLDs2XdlTjG_MbgoWNjMI-uWEYO6s" TargetMode="External"/><Relationship Id="rId15" Type="http://schemas.openxmlformats.org/officeDocument/2006/relationships/hyperlink" Target="https://drive.google.com/open?id=0B2rLR4BADrBtSTVSam9qQ1QwNlE" TargetMode="External"/><Relationship Id="rId23" Type="http://schemas.openxmlformats.org/officeDocument/2006/relationships/hyperlink" Target="https://drive.google.com/file/d/1pKHBgNrqeSlTXQiJ89vNQxpyFoKbN5WZ/view?usp=sharing" TargetMode="External"/><Relationship Id="rId28" Type="http://schemas.openxmlformats.org/officeDocument/2006/relationships/hyperlink" Target="https://drive.google.com/open?id=1r_CIVuHpalaal0RW_5rYR3_kL0HSK31y" TargetMode="External"/><Relationship Id="rId36" Type="http://schemas.openxmlformats.org/officeDocument/2006/relationships/hyperlink" Target="https://drive.google.com/open?id=1tbmxLDs2XdlTjG_MbgoWNjMI-uWEYO6s" TargetMode="External"/><Relationship Id="rId10" Type="http://schemas.openxmlformats.org/officeDocument/2006/relationships/hyperlink" Target="https://drive.google.com/open?id=1d-colTudNLeYNW53-LZTFcfJ5Hj_cb1k" TargetMode="External"/><Relationship Id="rId19" Type="http://schemas.openxmlformats.org/officeDocument/2006/relationships/hyperlink" Target="https://drive.google.com/open?id=0B2rLR4BADrBtT3gwb3hYWjY3Qzg" TargetMode="External"/><Relationship Id="rId31" Type="http://schemas.openxmlformats.org/officeDocument/2006/relationships/hyperlink" Target="https://drive.google.com/open?id=0B2rLR4BADrBtR1JUbUVIbHBQdE0" TargetMode="External"/><Relationship Id="rId4" Type="http://schemas.openxmlformats.org/officeDocument/2006/relationships/hyperlink" Target="https://drive.google.com/open?id=1KQe81ndxnboVCQ2wDiN-5qHbLV8orSNV" TargetMode="External"/><Relationship Id="rId9" Type="http://schemas.openxmlformats.org/officeDocument/2006/relationships/hyperlink" Target="https://drive.google.com/open?id=0B2vBTVEfSzItN0l1dkZGekVwNmM" TargetMode="External"/><Relationship Id="rId14" Type="http://schemas.openxmlformats.org/officeDocument/2006/relationships/hyperlink" Target="https://drive.google.com/open?id=1c9ROm4HUcAc15S4MXmpkFN2sBo4k3rwu" TargetMode="External"/><Relationship Id="rId22" Type="http://schemas.openxmlformats.org/officeDocument/2006/relationships/hyperlink" Target="https://drive.google.com/file/d/15ESC8cXjsJkafs8RLoJOKzvMwZmu0bUy/view?usp=sharing" TargetMode="External"/><Relationship Id="rId27" Type="http://schemas.openxmlformats.org/officeDocument/2006/relationships/hyperlink" Target="https://drive.google.com/open?id=0B2vBTVEfSzItME90d1dqTjBGZGs" TargetMode="External"/><Relationship Id="rId30" Type="http://schemas.openxmlformats.org/officeDocument/2006/relationships/hyperlink" Target="https://drive.google.com/open?id=0B2vBTVEfSzItWWFhdUNacTUtMnM" TargetMode="External"/><Relationship Id="rId35" Type="http://schemas.openxmlformats.org/officeDocument/2006/relationships/hyperlink" Target="https://drive.google.com/open?id=0B2rLR4BADrBtcnlUNnJwd2Rua3c" TargetMode="External"/><Relationship Id="rId8" Type="http://schemas.openxmlformats.org/officeDocument/2006/relationships/hyperlink" Target="https://drive.google.com/open?id=0B2rLR4BADrBtbmVab1pNaDZHcFU" TargetMode="External"/><Relationship Id="rId3" Type="http://schemas.openxmlformats.org/officeDocument/2006/relationships/hyperlink" Target="https://drive.google.com/open?id=0B2vBTVEfSzItVDBzc3RwZ2F5SG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outlinePr summaryBelow="0" summaryRight="0"/>
  </sheetPr>
  <dimension ref="A1:H440"/>
  <sheetViews>
    <sheetView topLeftCell="A374" zoomScale="120" zoomScaleNormal="120" zoomScaleSheetLayoutView="106" workbookViewId="0">
      <selection activeCell="C434" sqref="C434"/>
    </sheetView>
  </sheetViews>
  <sheetFormatPr defaultColWidth="14.42578125" defaultRowHeight="23.25"/>
  <cols>
    <col min="1" max="1" width="12.85546875" style="368" customWidth="1"/>
    <col min="2" max="2" width="11.140625" style="368" customWidth="1"/>
    <col min="3" max="3" width="13.28515625" style="368" customWidth="1"/>
    <col min="4" max="4" width="5.42578125" style="368" customWidth="1"/>
    <col min="5" max="5" width="60.42578125" style="368" customWidth="1"/>
    <col min="6" max="6" width="8.85546875" style="415" customWidth="1"/>
    <col min="7" max="7" width="12.7109375" style="415" customWidth="1"/>
    <col min="8" max="8" width="15.42578125" style="415" customWidth="1"/>
    <col min="9" max="16384" width="14.42578125" style="368"/>
  </cols>
  <sheetData>
    <row r="1" spans="1:8" ht="46.5">
      <c r="A1" s="452" t="s">
        <v>10</v>
      </c>
      <c r="B1" s="453" t="s">
        <v>2</v>
      </c>
      <c r="C1" s="453" t="s">
        <v>3</v>
      </c>
      <c r="D1" s="453" t="s">
        <v>4</v>
      </c>
      <c r="E1" s="453" t="s">
        <v>2754</v>
      </c>
      <c r="F1" s="454" t="s">
        <v>3600</v>
      </c>
      <c r="G1" s="454" t="s">
        <v>7</v>
      </c>
      <c r="H1" s="454" t="s">
        <v>11</v>
      </c>
    </row>
    <row r="2" spans="1:8">
      <c r="A2" s="496" t="s">
        <v>4167</v>
      </c>
      <c r="B2" s="496"/>
      <c r="C2" s="496"/>
      <c r="D2" s="496"/>
      <c r="E2" s="496"/>
      <c r="F2" s="369"/>
      <c r="G2" s="370"/>
      <c r="H2" s="371"/>
    </row>
    <row r="3" spans="1:8" ht="46.5">
      <c r="A3" s="372">
        <v>2320</v>
      </c>
      <c r="B3" s="373" t="s">
        <v>37</v>
      </c>
      <c r="C3" s="374" t="s">
        <v>38</v>
      </c>
      <c r="D3" s="373">
        <v>59</v>
      </c>
      <c r="E3" s="375" t="s">
        <v>56</v>
      </c>
      <c r="F3" s="376" t="s">
        <v>28</v>
      </c>
      <c r="G3" s="377">
        <v>3900000</v>
      </c>
      <c r="H3" s="378" t="s">
        <v>2356</v>
      </c>
    </row>
    <row r="4" spans="1:8" ht="46.5">
      <c r="A4" s="372">
        <v>2320</v>
      </c>
      <c r="B4" s="373" t="s">
        <v>37</v>
      </c>
      <c r="C4" s="374" t="s">
        <v>54</v>
      </c>
      <c r="D4" s="373">
        <v>60</v>
      </c>
      <c r="E4" s="375" t="s">
        <v>55</v>
      </c>
      <c r="F4" s="376" t="s">
        <v>28</v>
      </c>
      <c r="G4" s="377">
        <v>8100000</v>
      </c>
      <c r="H4" s="378" t="s">
        <v>2356</v>
      </c>
    </row>
    <row r="5" spans="1:8">
      <c r="A5" s="372">
        <v>2320</v>
      </c>
      <c r="B5" s="373" t="s">
        <v>37</v>
      </c>
      <c r="C5" s="374" t="s">
        <v>59</v>
      </c>
      <c r="D5" s="373">
        <v>59</v>
      </c>
      <c r="E5" s="375" t="s">
        <v>60</v>
      </c>
      <c r="F5" s="376" t="s">
        <v>28</v>
      </c>
      <c r="G5" s="377">
        <v>3210000</v>
      </c>
      <c r="H5" s="378" t="s">
        <v>2356</v>
      </c>
    </row>
    <row r="6" spans="1:8">
      <c r="A6" s="372">
        <v>2320</v>
      </c>
      <c r="B6" s="373" t="s">
        <v>63</v>
      </c>
      <c r="C6" s="374" t="s">
        <v>64</v>
      </c>
      <c r="D6" s="373">
        <v>62</v>
      </c>
      <c r="E6" s="375" t="s">
        <v>69</v>
      </c>
      <c r="F6" s="376" t="s">
        <v>28</v>
      </c>
      <c r="G6" s="377">
        <v>2100000</v>
      </c>
      <c r="H6" s="378" t="s">
        <v>2356</v>
      </c>
    </row>
    <row r="7" spans="1:8">
      <c r="A7" s="379">
        <v>2320</v>
      </c>
      <c r="B7" s="380" t="s">
        <v>63</v>
      </c>
      <c r="C7" s="381" t="s">
        <v>964</v>
      </c>
      <c r="D7" s="380">
        <v>56</v>
      </c>
      <c r="E7" s="382" t="s">
        <v>4156</v>
      </c>
      <c r="F7" s="383" t="s">
        <v>28</v>
      </c>
      <c r="G7" s="384">
        <v>12500000</v>
      </c>
      <c r="H7" s="385" t="s">
        <v>2418</v>
      </c>
    </row>
    <row r="8" spans="1:8" ht="46.5">
      <c r="A8" s="372">
        <v>2320</v>
      </c>
      <c r="B8" s="373" t="s">
        <v>63</v>
      </c>
      <c r="C8" s="374" t="s">
        <v>81</v>
      </c>
      <c r="D8" s="373">
        <v>61</v>
      </c>
      <c r="E8" s="375" t="s">
        <v>82</v>
      </c>
      <c r="F8" s="376" t="s">
        <v>28</v>
      </c>
      <c r="G8" s="377">
        <v>12000000</v>
      </c>
      <c r="H8" s="378" t="s">
        <v>2356</v>
      </c>
    </row>
    <row r="9" spans="1:8" ht="69.75">
      <c r="A9" s="372">
        <v>2320</v>
      </c>
      <c r="B9" s="373" t="s">
        <v>63</v>
      </c>
      <c r="C9" s="374" t="s">
        <v>89</v>
      </c>
      <c r="D9" s="373">
        <v>56</v>
      </c>
      <c r="E9" s="375" t="s">
        <v>90</v>
      </c>
      <c r="F9" s="376" t="s">
        <v>28</v>
      </c>
      <c r="G9" s="377">
        <v>2800000</v>
      </c>
      <c r="H9" s="378" t="s">
        <v>2356</v>
      </c>
    </row>
    <row r="10" spans="1:8" ht="69.75">
      <c r="A10" s="372">
        <v>2320</v>
      </c>
      <c r="B10" s="373" t="s">
        <v>63</v>
      </c>
      <c r="C10" s="374" t="s">
        <v>95</v>
      </c>
      <c r="D10" s="373">
        <v>56</v>
      </c>
      <c r="E10" s="375" t="s">
        <v>96</v>
      </c>
      <c r="F10" s="376" t="s">
        <v>28</v>
      </c>
      <c r="G10" s="377">
        <v>2900000</v>
      </c>
      <c r="H10" s="378" t="s">
        <v>2356</v>
      </c>
    </row>
    <row r="11" spans="1:8" ht="46.5">
      <c r="A11" s="372">
        <v>2320</v>
      </c>
      <c r="B11" s="373" t="s">
        <v>63</v>
      </c>
      <c r="C11" s="374" t="s">
        <v>99</v>
      </c>
      <c r="D11" s="373">
        <v>56</v>
      </c>
      <c r="E11" s="375" t="s">
        <v>100</v>
      </c>
      <c r="F11" s="376" t="s">
        <v>28</v>
      </c>
      <c r="G11" s="377">
        <v>6500000</v>
      </c>
      <c r="H11" s="378" t="s">
        <v>2356</v>
      </c>
    </row>
    <row r="12" spans="1:8">
      <c r="A12" s="372">
        <v>2320</v>
      </c>
      <c r="B12" s="373" t="s">
        <v>63</v>
      </c>
      <c r="C12" s="374" t="s">
        <v>119</v>
      </c>
      <c r="D12" s="373">
        <v>62</v>
      </c>
      <c r="E12" s="375" t="s">
        <v>120</v>
      </c>
      <c r="F12" s="376" t="s">
        <v>28</v>
      </c>
      <c r="G12" s="377">
        <v>950000</v>
      </c>
      <c r="H12" s="378" t="s">
        <v>2356</v>
      </c>
    </row>
    <row r="13" spans="1:8">
      <c r="A13" s="372">
        <v>2320</v>
      </c>
      <c r="B13" s="373" t="s">
        <v>63</v>
      </c>
      <c r="C13" s="374" t="s">
        <v>135</v>
      </c>
      <c r="D13" s="373">
        <v>57</v>
      </c>
      <c r="E13" s="375" t="s">
        <v>4119</v>
      </c>
      <c r="F13" s="376" t="s">
        <v>28</v>
      </c>
      <c r="G13" s="377">
        <v>982000</v>
      </c>
      <c r="H13" s="378" t="s">
        <v>2356</v>
      </c>
    </row>
    <row r="14" spans="1:8" ht="46.5">
      <c r="A14" s="372">
        <v>2320</v>
      </c>
      <c r="B14" s="373" t="s">
        <v>63</v>
      </c>
      <c r="C14" s="374" t="s">
        <v>109</v>
      </c>
      <c r="D14" s="373">
        <v>54</v>
      </c>
      <c r="E14" s="375" t="s">
        <v>110</v>
      </c>
      <c r="F14" s="376" t="s">
        <v>28</v>
      </c>
      <c r="G14" s="377">
        <v>1100000</v>
      </c>
      <c r="H14" s="378" t="s">
        <v>2356</v>
      </c>
    </row>
    <row r="15" spans="1:8" ht="46.5">
      <c r="A15" s="372">
        <v>2320</v>
      </c>
      <c r="B15" s="373" t="s">
        <v>63</v>
      </c>
      <c r="C15" s="374" t="s">
        <v>115</v>
      </c>
      <c r="D15" s="373">
        <v>58</v>
      </c>
      <c r="E15" s="375" t="s">
        <v>116</v>
      </c>
      <c r="F15" s="376" t="s">
        <v>28</v>
      </c>
      <c r="G15" s="377">
        <v>1980000</v>
      </c>
      <c r="H15" s="378" t="s">
        <v>2356</v>
      </c>
    </row>
    <row r="16" spans="1:8" ht="46.5">
      <c r="A16" s="372">
        <v>2320</v>
      </c>
      <c r="B16" s="373" t="s">
        <v>63</v>
      </c>
      <c r="C16" s="374" t="s">
        <v>105</v>
      </c>
      <c r="D16" s="373">
        <v>58</v>
      </c>
      <c r="E16" s="375" t="s">
        <v>106</v>
      </c>
      <c r="F16" s="376" t="s">
        <v>28</v>
      </c>
      <c r="G16" s="377">
        <v>4800000</v>
      </c>
      <c r="H16" s="378" t="s">
        <v>2356</v>
      </c>
    </row>
    <row r="17" spans="1:8" ht="46.5">
      <c r="A17" s="372">
        <v>2320</v>
      </c>
      <c r="B17" s="373" t="s">
        <v>63</v>
      </c>
      <c r="C17" s="374" t="s">
        <v>131</v>
      </c>
      <c r="D17" s="373">
        <v>55</v>
      </c>
      <c r="E17" s="375" t="s">
        <v>132</v>
      </c>
      <c r="F17" s="376" t="s">
        <v>28</v>
      </c>
      <c r="G17" s="377">
        <v>2100000</v>
      </c>
      <c r="H17" s="378" t="s">
        <v>2356</v>
      </c>
    </row>
    <row r="18" spans="1:8" ht="46.5">
      <c r="A18" s="372">
        <v>2320</v>
      </c>
      <c r="B18" s="373" t="s">
        <v>63</v>
      </c>
      <c r="C18" s="374" t="s">
        <v>125</v>
      </c>
      <c r="D18" s="373">
        <v>58</v>
      </c>
      <c r="E18" s="375" t="s">
        <v>126</v>
      </c>
      <c r="F18" s="376" t="s">
        <v>28</v>
      </c>
      <c r="G18" s="377">
        <v>2400000</v>
      </c>
      <c r="H18" s="378" t="s">
        <v>2356</v>
      </c>
    </row>
    <row r="19" spans="1:8">
      <c r="A19" s="372">
        <v>2320</v>
      </c>
      <c r="B19" s="373" t="s">
        <v>63</v>
      </c>
      <c r="C19" s="374" t="s">
        <v>144</v>
      </c>
      <c r="D19" s="373">
        <v>62</v>
      </c>
      <c r="E19" s="375" t="s">
        <v>145</v>
      </c>
      <c r="F19" s="376" t="s">
        <v>28</v>
      </c>
      <c r="G19" s="377">
        <v>950000</v>
      </c>
      <c r="H19" s="378" t="s">
        <v>2356</v>
      </c>
    </row>
    <row r="20" spans="1:8">
      <c r="A20" s="372">
        <v>2320</v>
      </c>
      <c r="B20" s="373" t="s">
        <v>63</v>
      </c>
      <c r="C20" s="374" t="s">
        <v>162</v>
      </c>
      <c r="D20" s="373">
        <v>56</v>
      </c>
      <c r="E20" s="375" t="s">
        <v>163</v>
      </c>
      <c r="F20" s="376" t="s">
        <v>28</v>
      </c>
      <c r="G20" s="377">
        <v>45000000</v>
      </c>
      <c r="H20" s="378" t="s">
        <v>2356</v>
      </c>
    </row>
    <row r="21" spans="1:8">
      <c r="A21" s="372">
        <v>2320</v>
      </c>
      <c r="B21" s="373" t="s">
        <v>63</v>
      </c>
      <c r="C21" s="374" t="s">
        <v>153</v>
      </c>
      <c r="D21" s="373">
        <v>56</v>
      </c>
      <c r="E21" s="375" t="s">
        <v>154</v>
      </c>
      <c r="F21" s="376" t="s">
        <v>28</v>
      </c>
      <c r="G21" s="377">
        <v>70000000</v>
      </c>
      <c r="H21" s="378" t="s">
        <v>2356</v>
      </c>
    </row>
    <row r="22" spans="1:8">
      <c r="A22" s="372">
        <v>2320</v>
      </c>
      <c r="B22" s="373" t="s">
        <v>63</v>
      </c>
      <c r="C22" s="374" t="s">
        <v>4180</v>
      </c>
      <c r="D22" s="373">
        <v>62</v>
      </c>
      <c r="E22" s="375" t="s">
        <v>2364</v>
      </c>
      <c r="F22" s="376" t="s">
        <v>28</v>
      </c>
      <c r="G22" s="377">
        <v>8000000</v>
      </c>
      <c r="H22" s="378"/>
    </row>
    <row r="23" spans="1:8">
      <c r="A23" s="497" t="s">
        <v>4168</v>
      </c>
      <c r="B23" s="497"/>
      <c r="C23" s="497"/>
      <c r="D23" s="497"/>
      <c r="E23" s="497"/>
      <c r="F23" s="386"/>
      <c r="G23" s="387"/>
      <c r="H23" s="388"/>
    </row>
    <row r="24" spans="1:8" ht="46.5">
      <c r="A24" s="372">
        <v>2420</v>
      </c>
      <c r="B24" s="373" t="s">
        <v>63</v>
      </c>
      <c r="C24" s="374" t="s">
        <v>172</v>
      </c>
      <c r="D24" s="373">
        <v>56</v>
      </c>
      <c r="E24" s="375" t="s">
        <v>173</v>
      </c>
      <c r="F24" s="376" t="s">
        <v>28</v>
      </c>
      <c r="G24" s="377">
        <v>740000</v>
      </c>
      <c r="H24" s="378" t="s">
        <v>2358</v>
      </c>
    </row>
    <row r="25" spans="1:8" ht="69.75">
      <c r="A25" s="372">
        <v>2420</v>
      </c>
      <c r="B25" s="373" t="s">
        <v>63</v>
      </c>
      <c r="C25" s="374" t="s">
        <v>181</v>
      </c>
      <c r="D25" s="373">
        <v>58</v>
      </c>
      <c r="E25" s="375" t="s">
        <v>182</v>
      </c>
      <c r="F25" s="376" t="s">
        <v>28</v>
      </c>
      <c r="G25" s="377">
        <v>1400000</v>
      </c>
      <c r="H25" s="378" t="s">
        <v>2358</v>
      </c>
    </row>
    <row r="26" spans="1:8">
      <c r="A26" s="496" t="s">
        <v>4120</v>
      </c>
      <c r="B26" s="496"/>
      <c r="C26" s="496"/>
      <c r="D26" s="496"/>
      <c r="E26" s="496"/>
      <c r="F26" s="369"/>
      <c r="G26" s="370"/>
      <c r="H26" s="371"/>
    </row>
    <row r="27" spans="1:8" ht="46.5">
      <c r="A27" s="372">
        <v>3220</v>
      </c>
      <c r="B27" s="373" t="s">
        <v>191</v>
      </c>
      <c r="C27" s="374" t="s">
        <v>192</v>
      </c>
      <c r="D27" s="373">
        <v>57</v>
      </c>
      <c r="E27" s="375" t="s">
        <v>193</v>
      </c>
      <c r="F27" s="376" t="s">
        <v>78</v>
      </c>
      <c r="G27" s="377">
        <v>75000</v>
      </c>
      <c r="H27" s="378" t="s">
        <v>2367</v>
      </c>
    </row>
    <row r="28" spans="1:8" ht="46.5">
      <c r="A28" s="372">
        <v>3220</v>
      </c>
      <c r="B28" s="373" t="s">
        <v>191</v>
      </c>
      <c r="C28" s="374" t="s">
        <v>202</v>
      </c>
      <c r="D28" s="373">
        <v>58</v>
      </c>
      <c r="E28" s="375" t="s">
        <v>203</v>
      </c>
      <c r="F28" s="376" t="s">
        <v>78</v>
      </c>
      <c r="G28" s="377">
        <v>14500</v>
      </c>
      <c r="H28" s="378" t="s">
        <v>2367</v>
      </c>
    </row>
    <row r="29" spans="1:8" ht="46.5">
      <c r="A29" s="372">
        <v>3230</v>
      </c>
      <c r="B29" s="373" t="s">
        <v>191</v>
      </c>
      <c r="C29" s="374" t="s">
        <v>208</v>
      </c>
      <c r="D29" s="373">
        <v>57</v>
      </c>
      <c r="E29" s="375" t="s">
        <v>209</v>
      </c>
      <c r="F29" s="376" t="s">
        <v>78</v>
      </c>
      <c r="G29" s="377">
        <v>35000</v>
      </c>
      <c r="H29" s="378" t="s">
        <v>2368</v>
      </c>
    </row>
    <row r="30" spans="1:8" s="389" customFormat="1">
      <c r="A30" s="496" t="s">
        <v>4121</v>
      </c>
      <c r="B30" s="496"/>
      <c r="C30" s="496"/>
      <c r="D30" s="496"/>
      <c r="E30" s="496"/>
      <c r="F30" s="369"/>
      <c r="G30" s="370"/>
      <c r="H30" s="371"/>
    </row>
    <row r="31" spans="1:8" ht="46.5">
      <c r="A31" s="372">
        <v>3405</v>
      </c>
      <c r="B31" s="373" t="s">
        <v>191</v>
      </c>
      <c r="C31" s="374" t="s">
        <v>220</v>
      </c>
      <c r="D31" s="373">
        <v>52</v>
      </c>
      <c r="E31" s="375" t="s">
        <v>221</v>
      </c>
      <c r="F31" s="376" t="s">
        <v>78</v>
      </c>
      <c r="G31" s="377">
        <v>8600</v>
      </c>
      <c r="H31" s="378" t="s">
        <v>2369</v>
      </c>
    </row>
    <row r="32" spans="1:8" ht="46.5">
      <c r="A32" s="372">
        <v>3413</v>
      </c>
      <c r="B32" s="373" t="s">
        <v>191</v>
      </c>
      <c r="C32" s="374" t="s">
        <v>226</v>
      </c>
      <c r="D32" s="373">
        <v>52</v>
      </c>
      <c r="E32" s="375" t="s">
        <v>227</v>
      </c>
      <c r="F32" s="376" t="s">
        <v>78</v>
      </c>
      <c r="G32" s="377">
        <v>15000</v>
      </c>
      <c r="H32" s="378" t="s">
        <v>2371</v>
      </c>
    </row>
    <row r="33" spans="1:8" ht="46.5">
      <c r="A33" s="372">
        <v>3416</v>
      </c>
      <c r="B33" s="373" t="s">
        <v>157</v>
      </c>
      <c r="C33" s="374" t="s">
        <v>232</v>
      </c>
      <c r="D33" s="373">
        <v>59</v>
      </c>
      <c r="E33" s="375" t="s">
        <v>233</v>
      </c>
      <c r="F33" s="376" t="s">
        <v>78</v>
      </c>
      <c r="G33" s="377">
        <v>550000</v>
      </c>
      <c r="H33" s="378" t="s">
        <v>2374</v>
      </c>
    </row>
    <row r="34" spans="1:8" ht="46.5">
      <c r="A34" s="372">
        <v>3431</v>
      </c>
      <c r="B34" s="373" t="s">
        <v>63</v>
      </c>
      <c r="C34" s="374" t="s">
        <v>237</v>
      </c>
      <c r="D34" s="373">
        <v>53</v>
      </c>
      <c r="E34" s="375" t="s">
        <v>239</v>
      </c>
      <c r="F34" s="376" t="s">
        <v>78</v>
      </c>
      <c r="G34" s="377">
        <v>175000</v>
      </c>
      <c r="H34" s="378" t="s">
        <v>2377</v>
      </c>
    </row>
    <row r="35" spans="1:8" ht="46.5">
      <c r="A35" s="372">
        <v>3431</v>
      </c>
      <c r="B35" s="373" t="s">
        <v>157</v>
      </c>
      <c r="C35" s="374" t="s">
        <v>243</v>
      </c>
      <c r="D35" s="373">
        <v>55</v>
      </c>
      <c r="E35" s="375" t="s">
        <v>244</v>
      </c>
      <c r="F35" s="376" t="s">
        <v>78</v>
      </c>
      <c r="G35" s="377">
        <v>35000</v>
      </c>
      <c r="H35" s="378" t="s">
        <v>2377</v>
      </c>
    </row>
    <row r="36" spans="1:8" ht="46.5">
      <c r="A36" s="372">
        <v>3431</v>
      </c>
      <c r="B36" s="373" t="s">
        <v>157</v>
      </c>
      <c r="C36" s="374" t="s">
        <v>248</v>
      </c>
      <c r="D36" s="373">
        <v>54</v>
      </c>
      <c r="E36" s="375" t="s">
        <v>250</v>
      </c>
      <c r="F36" s="376" t="s">
        <v>78</v>
      </c>
      <c r="G36" s="377">
        <v>14000</v>
      </c>
      <c r="H36" s="378" t="s">
        <v>2377</v>
      </c>
    </row>
    <row r="37" spans="1:8" ht="46.5">
      <c r="A37" s="372">
        <v>3432</v>
      </c>
      <c r="B37" s="373" t="s">
        <v>256</v>
      </c>
      <c r="C37" s="374" t="s">
        <v>263</v>
      </c>
      <c r="D37" s="373">
        <v>56</v>
      </c>
      <c r="E37" s="375" t="s">
        <v>265</v>
      </c>
      <c r="F37" s="376" t="s">
        <v>78</v>
      </c>
      <c r="G37" s="377">
        <v>100000</v>
      </c>
      <c r="H37" s="378" t="s">
        <v>2378</v>
      </c>
    </row>
    <row r="38" spans="1:8" ht="46.5">
      <c r="A38" s="379">
        <v>3432</v>
      </c>
      <c r="B38" s="380" t="s">
        <v>256</v>
      </c>
      <c r="C38" s="381" t="s">
        <v>257</v>
      </c>
      <c r="D38" s="380">
        <v>54</v>
      </c>
      <c r="E38" s="382" t="s">
        <v>258</v>
      </c>
      <c r="F38" s="383" t="s">
        <v>78</v>
      </c>
      <c r="G38" s="384">
        <v>220000</v>
      </c>
      <c r="H38" s="385" t="s">
        <v>2378</v>
      </c>
    </row>
    <row r="39" spans="1:8" ht="46.5">
      <c r="A39" s="379">
        <v>3433</v>
      </c>
      <c r="B39" s="380" t="s">
        <v>157</v>
      </c>
      <c r="C39" s="381" t="s">
        <v>270</v>
      </c>
      <c r="D39" s="380">
        <v>54</v>
      </c>
      <c r="E39" s="382" t="s">
        <v>272</v>
      </c>
      <c r="F39" s="383" t="s">
        <v>78</v>
      </c>
      <c r="G39" s="384">
        <v>9500</v>
      </c>
      <c r="H39" s="385" t="s">
        <v>2379</v>
      </c>
    </row>
    <row r="40" spans="1:8" ht="46.5">
      <c r="A40" s="379">
        <v>3433</v>
      </c>
      <c r="B40" s="380" t="s">
        <v>157</v>
      </c>
      <c r="C40" s="381" t="s">
        <v>278</v>
      </c>
      <c r="D40" s="380">
        <v>53</v>
      </c>
      <c r="E40" s="382" t="s">
        <v>279</v>
      </c>
      <c r="F40" s="383" t="s">
        <v>53</v>
      </c>
      <c r="G40" s="384">
        <v>26500</v>
      </c>
      <c r="H40" s="385" t="s">
        <v>2379</v>
      </c>
    </row>
    <row r="41" spans="1:8" ht="46.5">
      <c r="A41" s="379">
        <v>3442</v>
      </c>
      <c r="B41" s="380" t="s">
        <v>63</v>
      </c>
      <c r="C41" s="381" t="s">
        <v>284</v>
      </c>
      <c r="D41" s="380">
        <v>58</v>
      </c>
      <c r="E41" s="382" t="s">
        <v>285</v>
      </c>
      <c r="F41" s="383" t="s">
        <v>78</v>
      </c>
      <c r="G41" s="384">
        <v>200000</v>
      </c>
      <c r="H41" s="385" t="s">
        <v>2380</v>
      </c>
    </row>
    <row r="42" spans="1:8">
      <c r="A42" s="390"/>
      <c r="B42" s="390"/>
      <c r="C42" s="390" t="s">
        <v>4122</v>
      </c>
      <c r="D42" s="390"/>
      <c r="E42" s="390"/>
      <c r="F42" s="391"/>
      <c r="G42" s="392"/>
      <c r="H42" s="393"/>
    </row>
    <row r="43" spans="1:8" ht="46.5">
      <c r="A43" s="379">
        <v>3750</v>
      </c>
      <c r="B43" s="380" t="s">
        <v>256</v>
      </c>
      <c r="C43" s="381" t="s">
        <v>294</v>
      </c>
      <c r="D43" s="380">
        <v>61</v>
      </c>
      <c r="E43" s="382" t="s">
        <v>152</v>
      </c>
      <c r="F43" s="383" t="s">
        <v>78</v>
      </c>
      <c r="G43" s="384">
        <v>9500</v>
      </c>
      <c r="H43" s="385" t="s">
        <v>2389</v>
      </c>
    </row>
    <row r="44" spans="1:8" ht="46.5">
      <c r="A44" s="379">
        <v>3750</v>
      </c>
      <c r="B44" s="380" t="s">
        <v>256</v>
      </c>
      <c r="C44" s="381" t="s">
        <v>303</v>
      </c>
      <c r="D44" s="380">
        <v>53</v>
      </c>
      <c r="E44" s="382" t="s">
        <v>161</v>
      </c>
      <c r="F44" s="383" t="s">
        <v>78</v>
      </c>
      <c r="G44" s="384">
        <v>13000</v>
      </c>
      <c r="H44" s="385" t="s">
        <v>2389</v>
      </c>
    </row>
    <row r="45" spans="1:8" ht="46.5">
      <c r="A45" s="379">
        <v>3750</v>
      </c>
      <c r="B45" s="380" t="s">
        <v>256</v>
      </c>
      <c r="C45" s="381" t="s">
        <v>310</v>
      </c>
      <c r="D45" s="380">
        <v>53</v>
      </c>
      <c r="E45" s="382" t="s">
        <v>165</v>
      </c>
      <c r="F45" s="383" t="s">
        <v>78</v>
      </c>
      <c r="G45" s="384">
        <v>182000</v>
      </c>
      <c r="H45" s="385" t="s">
        <v>2389</v>
      </c>
    </row>
    <row r="46" spans="1:8" ht="46.5">
      <c r="A46" s="379">
        <v>3750</v>
      </c>
      <c r="B46" s="380" t="s">
        <v>256</v>
      </c>
      <c r="C46" s="381" t="s">
        <v>313</v>
      </c>
      <c r="D46" s="380">
        <v>53</v>
      </c>
      <c r="E46" s="382" t="s">
        <v>167</v>
      </c>
      <c r="F46" s="383" t="s">
        <v>78</v>
      </c>
      <c r="G46" s="384">
        <v>12000</v>
      </c>
      <c r="H46" s="385" t="s">
        <v>2389</v>
      </c>
    </row>
    <row r="47" spans="1:8" ht="46.5">
      <c r="A47" s="379">
        <v>3750</v>
      </c>
      <c r="B47" s="380" t="s">
        <v>256</v>
      </c>
      <c r="C47" s="381" t="s">
        <v>319</v>
      </c>
      <c r="D47" s="380">
        <v>58</v>
      </c>
      <c r="E47" s="382" t="s">
        <v>320</v>
      </c>
      <c r="F47" s="383" t="s">
        <v>78</v>
      </c>
      <c r="G47" s="384">
        <v>180000</v>
      </c>
      <c r="H47" s="385" t="s">
        <v>2389</v>
      </c>
    </row>
    <row r="48" spans="1:8">
      <c r="A48" s="379">
        <v>3750</v>
      </c>
      <c r="B48" s="380" t="s">
        <v>63</v>
      </c>
      <c r="C48" s="381" t="s">
        <v>325</v>
      </c>
      <c r="D48" s="380">
        <v>55</v>
      </c>
      <c r="E48" s="382" t="s">
        <v>326</v>
      </c>
      <c r="F48" s="383" t="s">
        <v>53</v>
      </c>
      <c r="G48" s="384">
        <v>750000</v>
      </c>
      <c r="H48" s="385" t="s">
        <v>2389</v>
      </c>
    </row>
    <row r="49" spans="1:8">
      <c r="A49" s="390"/>
      <c r="B49" s="390"/>
      <c r="C49" s="390" t="s">
        <v>4123</v>
      </c>
      <c r="D49" s="390"/>
      <c r="E49" s="390"/>
      <c r="F49" s="391"/>
      <c r="G49" s="392"/>
      <c r="H49" s="393"/>
    </row>
    <row r="50" spans="1:8" ht="46.5">
      <c r="A50" s="379">
        <v>3805</v>
      </c>
      <c r="B50" s="380" t="s">
        <v>63</v>
      </c>
      <c r="C50" s="381" t="s">
        <v>340</v>
      </c>
      <c r="D50" s="380">
        <v>60</v>
      </c>
      <c r="E50" s="382" t="s">
        <v>341</v>
      </c>
      <c r="F50" s="383" t="s">
        <v>28</v>
      </c>
      <c r="G50" s="384">
        <v>2500000</v>
      </c>
      <c r="H50" s="385" t="s">
        <v>2392</v>
      </c>
    </row>
    <row r="51" spans="1:8">
      <c r="A51" s="379">
        <v>3805</v>
      </c>
      <c r="B51" s="380" t="s">
        <v>63</v>
      </c>
      <c r="C51" s="381" t="s">
        <v>350</v>
      </c>
      <c r="D51" s="380">
        <v>57</v>
      </c>
      <c r="E51" s="382" t="s">
        <v>351</v>
      </c>
      <c r="F51" s="383" t="s">
        <v>28</v>
      </c>
      <c r="G51" s="384">
        <v>5000000</v>
      </c>
      <c r="H51" s="385" t="s">
        <v>2392</v>
      </c>
    </row>
    <row r="52" spans="1:8">
      <c r="A52" s="379">
        <v>3805</v>
      </c>
      <c r="B52" s="380" t="s">
        <v>63</v>
      </c>
      <c r="C52" s="381" t="s">
        <v>359</v>
      </c>
      <c r="D52" s="380">
        <v>59</v>
      </c>
      <c r="E52" s="382" t="s">
        <v>360</v>
      </c>
      <c r="F52" s="383" t="s">
        <v>28</v>
      </c>
      <c r="G52" s="384">
        <v>4500000</v>
      </c>
      <c r="H52" s="385" t="s">
        <v>2392</v>
      </c>
    </row>
    <row r="53" spans="1:8" ht="46.5">
      <c r="A53" s="379">
        <v>3805</v>
      </c>
      <c r="B53" s="380" t="s">
        <v>63</v>
      </c>
      <c r="C53" s="381" t="s">
        <v>4181</v>
      </c>
      <c r="D53" s="380">
        <v>62</v>
      </c>
      <c r="E53" s="382" t="s">
        <v>4182</v>
      </c>
      <c r="F53" s="383" t="s">
        <v>28</v>
      </c>
      <c r="G53" s="384">
        <v>3300000</v>
      </c>
      <c r="H53" s="385"/>
    </row>
    <row r="54" spans="1:8" ht="46.5">
      <c r="A54" s="379">
        <v>3805</v>
      </c>
      <c r="B54" s="380" t="s">
        <v>63</v>
      </c>
      <c r="C54" s="381" t="s">
        <v>365</v>
      </c>
      <c r="D54" s="380">
        <v>62</v>
      </c>
      <c r="E54" s="382" t="s">
        <v>366</v>
      </c>
      <c r="F54" s="383" t="s">
        <v>28</v>
      </c>
      <c r="G54" s="384">
        <v>3800000</v>
      </c>
      <c r="H54" s="385" t="s">
        <v>2392</v>
      </c>
    </row>
    <row r="55" spans="1:8" ht="46.5">
      <c r="A55" s="379">
        <v>3820</v>
      </c>
      <c r="B55" s="380" t="s">
        <v>372</v>
      </c>
      <c r="C55" s="381" t="s">
        <v>375</v>
      </c>
      <c r="D55" s="380">
        <v>61</v>
      </c>
      <c r="E55" s="382" t="s">
        <v>376</v>
      </c>
      <c r="F55" s="383" t="s">
        <v>78</v>
      </c>
      <c r="G55" s="384">
        <v>580000</v>
      </c>
      <c r="H55" s="385" t="s">
        <v>2393</v>
      </c>
    </row>
    <row r="56" spans="1:8" ht="46.5">
      <c r="A56" s="379">
        <v>3820</v>
      </c>
      <c r="B56" s="380" t="s">
        <v>372</v>
      </c>
      <c r="C56" s="381" t="s">
        <v>387</v>
      </c>
      <c r="D56" s="380">
        <v>61</v>
      </c>
      <c r="E56" s="382" t="s">
        <v>388</v>
      </c>
      <c r="F56" s="383" t="s">
        <v>78</v>
      </c>
      <c r="G56" s="384">
        <v>80000</v>
      </c>
      <c r="H56" s="385" t="s">
        <v>2393</v>
      </c>
    </row>
    <row r="57" spans="1:8" ht="46.5">
      <c r="A57" s="379">
        <v>3820</v>
      </c>
      <c r="B57" s="380" t="s">
        <v>372</v>
      </c>
      <c r="C57" s="381" t="s">
        <v>392</v>
      </c>
      <c r="D57" s="380">
        <v>55</v>
      </c>
      <c r="E57" s="382" t="s">
        <v>393</v>
      </c>
      <c r="F57" s="383" t="s">
        <v>78</v>
      </c>
      <c r="G57" s="384">
        <v>300000</v>
      </c>
      <c r="H57" s="385" t="s">
        <v>2393</v>
      </c>
    </row>
    <row r="58" spans="1:8" ht="46.5">
      <c r="A58" s="379">
        <v>3825</v>
      </c>
      <c r="B58" s="380" t="s">
        <v>63</v>
      </c>
      <c r="C58" s="381" t="s">
        <v>401</v>
      </c>
      <c r="D58" s="380">
        <v>53</v>
      </c>
      <c r="E58" s="382" t="s">
        <v>403</v>
      </c>
      <c r="F58" s="383" t="s">
        <v>78</v>
      </c>
      <c r="G58" s="384">
        <v>270000</v>
      </c>
      <c r="H58" s="385" t="s">
        <v>2394</v>
      </c>
    </row>
    <row r="59" spans="1:8">
      <c r="A59" s="379">
        <v>3825</v>
      </c>
      <c r="B59" s="380" t="s">
        <v>63</v>
      </c>
      <c r="C59" s="381" t="s">
        <v>4183</v>
      </c>
      <c r="D59" s="380">
        <v>62</v>
      </c>
      <c r="E59" s="382" t="s">
        <v>4184</v>
      </c>
      <c r="F59" s="383" t="s">
        <v>28</v>
      </c>
      <c r="G59" s="384">
        <v>1900000</v>
      </c>
      <c r="H59" s="394">
        <v>3825</v>
      </c>
    </row>
    <row r="60" spans="1:8">
      <c r="A60" s="379">
        <v>3825</v>
      </c>
      <c r="B60" s="380" t="s">
        <v>63</v>
      </c>
      <c r="C60" s="381" t="s">
        <v>4160</v>
      </c>
      <c r="D60" s="380">
        <v>59</v>
      </c>
      <c r="E60" s="382" t="s">
        <v>413</v>
      </c>
      <c r="F60" s="383" t="s">
        <v>28</v>
      </c>
      <c r="G60" s="384">
        <v>15500000</v>
      </c>
      <c r="H60" s="385" t="s">
        <v>2394</v>
      </c>
    </row>
    <row r="61" spans="1:8">
      <c r="A61" s="379">
        <v>3825</v>
      </c>
      <c r="B61" s="380" t="s">
        <v>63</v>
      </c>
      <c r="C61" s="381" t="s">
        <v>417</v>
      </c>
      <c r="D61" s="380">
        <v>56</v>
      </c>
      <c r="E61" s="382" t="s">
        <v>418</v>
      </c>
      <c r="F61" s="383" t="s">
        <v>28</v>
      </c>
      <c r="G61" s="384">
        <v>345000</v>
      </c>
      <c r="H61" s="385" t="s">
        <v>2394</v>
      </c>
    </row>
    <row r="62" spans="1:8">
      <c r="A62" s="379">
        <v>3825</v>
      </c>
      <c r="B62" s="380" t="s">
        <v>63</v>
      </c>
      <c r="C62" s="381" t="s">
        <v>429</v>
      </c>
      <c r="D62" s="380">
        <v>54</v>
      </c>
      <c r="E62" s="382" t="s">
        <v>430</v>
      </c>
      <c r="F62" s="383" t="s">
        <v>28</v>
      </c>
      <c r="G62" s="384">
        <v>2400000</v>
      </c>
      <c r="H62" s="385" t="s">
        <v>2394</v>
      </c>
    </row>
    <row r="63" spans="1:8" ht="46.5">
      <c r="A63" s="379">
        <v>3895</v>
      </c>
      <c r="B63" s="380" t="s">
        <v>191</v>
      </c>
      <c r="C63" s="381" t="s">
        <v>434</v>
      </c>
      <c r="D63" s="380">
        <v>55</v>
      </c>
      <c r="E63" s="382" t="s">
        <v>435</v>
      </c>
      <c r="F63" s="383" t="s">
        <v>78</v>
      </c>
      <c r="G63" s="384">
        <v>300000</v>
      </c>
      <c r="H63" s="385" t="s">
        <v>2395</v>
      </c>
    </row>
    <row r="64" spans="1:8" ht="69.75">
      <c r="A64" s="379">
        <v>3895</v>
      </c>
      <c r="B64" s="380" t="s">
        <v>63</v>
      </c>
      <c r="C64" s="381" t="s">
        <v>4185</v>
      </c>
      <c r="D64" s="380">
        <v>62</v>
      </c>
      <c r="E64" s="382" t="s">
        <v>4186</v>
      </c>
      <c r="F64" s="383" t="s">
        <v>78</v>
      </c>
      <c r="G64" s="384">
        <v>14000000</v>
      </c>
      <c r="H64" s="385" t="s">
        <v>2395</v>
      </c>
    </row>
    <row r="65" spans="1:8">
      <c r="A65" s="379">
        <v>3895</v>
      </c>
      <c r="B65" s="380" t="s">
        <v>63</v>
      </c>
      <c r="C65" s="381" t="s">
        <v>4187</v>
      </c>
      <c r="D65" s="380">
        <v>62</v>
      </c>
      <c r="E65" s="382" t="s">
        <v>4188</v>
      </c>
      <c r="F65" s="383" t="s">
        <v>28</v>
      </c>
      <c r="G65" s="384">
        <v>1500000</v>
      </c>
      <c r="H65" s="385">
        <v>3895</v>
      </c>
    </row>
    <row r="66" spans="1:8">
      <c r="A66" s="395"/>
      <c r="B66" s="395"/>
      <c r="C66" s="395" t="s">
        <v>4124</v>
      </c>
      <c r="D66" s="395"/>
      <c r="E66" s="395"/>
      <c r="F66" s="396"/>
      <c r="G66" s="397"/>
      <c r="H66" s="398"/>
    </row>
    <row r="67" spans="1:8" ht="46.5">
      <c r="A67" s="379">
        <v>3930</v>
      </c>
      <c r="B67" s="380" t="s">
        <v>63</v>
      </c>
      <c r="C67" s="381" t="s">
        <v>450</v>
      </c>
      <c r="D67" s="380">
        <v>58</v>
      </c>
      <c r="E67" s="382" t="s">
        <v>451</v>
      </c>
      <c r="F67" s="383" t="s">
        <v>28</v>
      </c>
      <c r="G67" s="384">
        <v>1035000</v>
      </c>
      <c r="H67" s="385" t="s">
        <v>2397</v>
      </c>
    </row>
    <row r="68" spans="1:8" ht="46.5">
      <c r="A68" s="379">
        <v>3930</v>
      </c>
      <c r="B68" s="380" t="s">
        <v>63</v>
      </c>
      <c r="C68" s="381" t="s">
        <v>458</v>
      </c>
      <c r="D68" s="380">
        <v>57</v>
      </c>
      <c r="E68" s="382" t="s">
        <v>459</v>
      </c>
      <c r="F68" s="383" t="s">
        <v>28</v>
      </c>
      <c r="G68" s="384">
        <v>200000</v>
      </c>
      <c r="H68" s="385">
        <v>3930</v>
      </c>
    </row>
    <row r="69" spans="1:8" ht="46.5">
      <c r="A69" s="379">
        <v>3930</v>
      </c>
      <c r="B69" s="380" t="s">
        <v>63</v>
      </c>
      <c r="C69" s="381" t="s">
        <v>471</v>
      </c>
      <c r="D69" s="380">
        <v>59</v>
      </c>
      <c r="E69" s="382" t="s">
        <v>473</v>
      </c>
      <c r="F69" s="383" t="s">
        <v>28</v>
      </c>
      <c r="G69" s="384">
        <v>760000</v>
      </c>
      <c r="H69" s="385" t="s">
        <v>2397</v>
      </c>
    </row>
    <row r="70" spans="1:8" ht="46.5">
      <c r="A70" s="379">
        <v>3930</v>
      </c>
      <c r="B70" s="380" t="s">
        <v>63</v>
      </c>
      <c r="C70" s="381" t="s">
        <v>478</v>
      </c>
      <c r="D70" s="380">
        <v>57</v>
      </c>
      <c r="E70" s="382" t="s">
        <v>479</v>
      </c>
      <c r="F70" s="383" t="s">
        <v>28</v>
      </c>
      <c r="G70" s="384">
        <v>960000</v>
      </c>
      <c r="H70" s="385" t="s">
        <v>2397</v>
      </c>
    </row>
    <row r="71" spans="1:8" ht="46.5">
      <c r="A71" s="379">
        <v>3930</v>
      </c>
      <c r="B71" s="380" t="s">
        <v>63</v>
      </c>
      <c r="C71" s="381" t="s">
        <v>466</v>
      </c>
      <c r="D71" s="380">
        <v>60</v>
      </c>
      <c r="E71" s="382" t="s">
        <v>467</v>
      </c>
      <c r="F71" s="383" t="s">
        <v>28</v>
      </c>
      <c r="G71" s="384">
        <v>1800000</v>
      </c>
      <c r="H71" s="385" t="s">
        <v>2397</v>
      </c>
    </row>
    <row r="72" spans="1:8" ht="46.5">
      <c r="A72" s="379">
        <v>3930</v>
      </c>
      <c r="B72" s="380" t="s">
        <v>63</v>
      </c>
      <c r="C72" s="381" t="s">
        <v>489</v>
      </c>
      <c r="D72" s="380">
        <v>58</v>
      </c>
      <c r="E72" s="382" t="s">
        <v>490</v>
      </c>
      <c r="F72" s="383" t="s">
        <v>28</v>
      </c>
      <c r="G72" s="384">
        <v>760000</v>
      </c>
      <c r="H72" s="385" t="s">
        <v>2397</v>
      </c>
    </row>
    <row r="73" spans="1:8" ht="46.5">
      <c r="A73" s="379">
        <v>3930</v>
      </c>
      <c r="B73" s="380" t="s">
        <v>63</v>
      </c>
      <c r="C73" s="381" t="s">
        <v>496</v>
      </c>
      <c r="D73" s="380">
        <v>54</v>
      </c>
      <c r="E73" s="382" t="s">
        <v>498</v>
      </c>
      <c r="F73" s="383" t="s">
        <v>28</v>
      </c>
      <c r="G73" s="384">
        <v>1200000</v>
      </c>
      <c r="H73" s="385" t="s">
        <v>2397</v>
      </c>
    </row>
    <row r="74" spans="1:8" ht="46.5">
      <c r="A74" s="379">
        <v>3930</v>
      </c>
      <c r="B74" s="380" t="s">
        <v>157</v>
      </c>
      <c r="C74" s="381" t="s">
        <v>503</v>
      </c>
      <c r="D74" s="380">
        <v>62</v>
      </c>
      <c r="E74" s="382" t="s">
        <v>504</v>
      </c>
      <c r="F74" s="383" t="s">
        <v>28</v>
      </c>
      <c r="G74" s="384">
        <v>590000</v>
      </c>
      <c r="H74" s="385" t="s">
        <v>2397</v>
      </c>
    </row>
    <row r="75" spans="1:8" ht="46.5">
      <c r="A75" s="379">
        <v>3930</v>
      </c>
      <c r="B75" s="380" t="s">
        <v>63</v>
      </c>
      <c r="C75" s="381" t="s">
        <v>511</v>
      </c>
      <c r="D75" s="380">
        <v>55</v>
      </c>
      <c r="E75" s="382" t="s">
        <v>512</v>
      </c>
      <c r="F75" s="383" t="s">
        <v>28</v>
      </c>
      <c r="G75" s="384">
        <v>1100000</v>
      </c>
      <c r="H75" s="385" t="s">
        <v>2397</v>
      </c>
    </row>
    <row r="76" spans="1:8" ht="69.75">
      <c r="A76" s="379">
        <v>3930</v>
      </c>
      <c r="B76" s="380" t="s">
        <v>63</v>
      </c>
      <c r="C76" s="381" t="s">
        <v>515</v>
      </c>
      <c r="D76" s="380">
        <v>58</v>
      </c>
      <c r="E76" s="382" t="s">
        <v>516</v>
      </c>
      <c r="F76" s="383" t="s">
        <v>28</v>
      </c>
      <c r="G76" s="384">
        <v>1330000</v>
      </c>
      <c r="H76" s="385" t="s">
        <v>2397</v>
      </c>
    </row>
    <row r="77" spans="1:8">
      <c r="A77" s="379">
        <v>3940</v>
      </c>
      <c r="B77" s="380" t="s">
        <v>157</v>
      </c>
      <c r="C77" s="381" t="s">
        <v>519</v>
      </c>
      <c r="D77" s="380">
        <v>53</v>
      </c>
      <c r="E77" s="382" t="s">
        <v>520</v>
      </c>
      <c r="F77" s="383" t="s">
        <v>48</v>
      </c>
      <c r="G77" s="384">
        <v>4500</v>
      </c>
      <c r="H77" s="385" t="s">
        <v>2398</v>
      </c>
    </row>
    <row r="78" spans="1:8">
      <c r="A78" s="379">
        <v>3940</v>
      </c>
      <c r="B78" s="380" t="s">
        <v>157</v>
      </c>
      <c r="C78" s="381" t="s">
        <v>525</v>
      </c>
      <c r="D78" s="380">
        <v>58</v>
      </c>
      <c r="E78" s="382" t="s">
        <v>526</v>
      </c>
      <c r="F78" s="383" t="s">
        <v>48</v>
      </c>
      <c r="G78" s="384">
        <v>13000</v>
      </c>
      <c r="H78" s="385" t="s">
        <v>2398</v>
      </c>
    </row>
    <row r="79" spans="1:8">
      <c r="A79" s="379">
        <v>3940</v>
      </c>
      <c r="B79" s="380" t="s">
        <v>157</v>
      </c>
      <c r="C79" s="381" t="s">
        <v>535</v>
      </c>
      <c r="D79" s="380">
        <v>55</v>
      </c>
      <c r="E79" s="382" t="s">
        <v>536</v>
      </c>
      <c r="F79" s="383" t="s">
        <v>48</v>
      </c>
      <c r="G79" s="384">
        <v>35000</v>
      </c>
      <c r="H79" s="385" t="s">
        <v>2398</v>
      </c>
    </row>
    <row r="80" spans="1:8" ht="46.5">
      <c r="A80" s="379">
        <v>3940</v>
      </c>
      <c r="B80" s="380" t="s">
        <v>37</v>
      </c>
      <c r="C80" s="381" t="s">
        <v>529</v>
      </c>
      <c r="D80" s="380">
        <v>55</v>
      </c>
      <c r="E80" s="382" t="s">
        <v>531</v>
      </c>
      <c r="F80" s="383" t="s">
        <v>53</v>
      </c>
      <c r="G80" s="384">
        <v>12500</v>
      </c>
      <c r="H80" s="385" t="s">
        <v>2398</v>
      </c>
    </row>
    <row r="81" spans="1:8" ht="46.5">
      <c r="A81" s="379">
        <v>3950</v>
      </c>
      <c r="B81" s="380" t="s">
        <v>372</v>
      </c>
      <c r="C81" s="381" t="s">
        <v>542</v>
      </c>
      <c r="D81" s="380">
        <v>58</v>
      </c>
      <c r="E81" s="382" t="s">
        <v>543</v>
      </c>
      <c r="F81" s="383" t="s">
        <v>78</v>
      </c>
      <c r="G81" s="384">
        <v>8000000</v>
      </c>
      <c r="H81" s="385" t="s">
        <v>2399</v>
      </c>
    </row>
    <row r="82" spans="1:8">
      <c r="A82" s="399"/>
      <c r="B82" s="400"/>
      <c r="C82" s="493" t="s">
        <v>4125</v>
      </c>
      <c r="D82" s="495"/>
      <c r="E82" s="495"/>
      <c r="F82" s="396"/>
      <c r="G82" s="397"/>
      <c r="H82" s="398"/>
    </row>
    <row r="83" spans="1:8" ht="46.5">
      <c r="A83" s="379">
        <v>4120</v>
      </c>
      <c r="B83" s="380" t="s">
        <v>157</v>
      </c>
      <c r="C83" s="381" t="s">
        <v>571</v>
      </c>
      <c r="D83" s="380">
        <v>62</v>
      </c>
      <c r="E83" s="382" t="s">
        <v>573</v>
      </c>
      <c r="F83" s="383" t="s">
        <v>78</v>
      </c>
      <c r="G83" s="384">
        <v>4500000</v>
      </c>
      <c r="H83" s="385" t="s">
        <v>2403</v>
      </c>
    </row>
    <row r="84" spans="1:8" ht="46.5">
      <c r="A84" s="379">
        <v>4120</v>
      </c>
      <c r="B84" s="380" t="s">
        <v>157</v>
      </c>
      <c r="C84" s="381" t="s">
        <v>558</v>
      </c>
      <c r="D84" s="380">
        <v>62</v>
      </c>
      <c r="E84" s="382" t="s">
        <v>559</v>
      </c>
      <c r="F84" s="383" t="s">
        <v>78</v>
      </c>
      <c r="G84" s="384">
        <v>6700000</v>
      </c>
      <c r="H84" s="385" t="s">
        <v>2403</v>
      </c>
    </row>
    <row r="85" spans="1:8" ht="46.5">
      <c r="A85" s="379">
        <v>4120</v>
      </c>
      <c r="B85" s="380" t="s">
        <v>372</v>
      </c>
      <c r="C85" s="381" t="s">
        <v>566</v>
      </c>
      <c r="D85" s="380">
        <v>60</v>
      </c>
      <c r="E85" s="382" t="s">
        <v>567</v>
      </c>
      <c r="F85" s="383" t="s">
        <v>78</v>
      </c>
      <c r="G85" s="384">
        <v>11000000</v>
      </c>
      <c r="H85" s="385" t="s">
        <v>2403</v>
      </c>
    </row>
    <row r="86" spans="1:8" ht="93">
      <c r="A86" s="379">
        <v>4120</v>
      </c>
      <c r="B86" s="380" t="s">
        <v>157</v>
      </c>
      <c r="C86" s="381" t="s">
        <v>577</v>
      </c>
      <c r="D86" s="380">
        <v>61</v>
      </c>
      <c r="E86" s="382" t="s">
        <v>578</v>
      </c>
      <c r="F86" s="383" t="s">
        <v>78</v>
      </c>
      <c r="G86" s="384">
        <v>2000000</v>
      </c>
      <c r="H86" s="385" t="s">
        <v>2403</v>
      </c>
    </row>
    <row r="87" spans="1:8" ht="93">
      <c r="A87" s="379">
        <v>4120</v>
      </c>
      <c r="B87" s="380" t="s">
        <v>157</v>
      </c>
      <c r="C87" s="381" t="s">
        <v>583</v>
      </c>
      <c r="D87" s="380">
        <v>59</v>
      </c>
      <c r="E87" s="382" t="s">
        <v>584</v>
      </c>
      <c r="F87" s="383" t="s">
        <v>78</v>
      </c>
      <c r="G87" s="384">
        <v>2500000</v>
      </c>
      <c r="H87" s="385" t="s">
        <v>2403</v>
      </c>
    </row>
    <row r="88" spans="1:8" ht="46.5">
      <c r="A88" s="379">
        <v>4120</v>
      </c>
      <c r="B88" s="380" t="s">
        <v>157</v>
      </c>
      <c r="C88" s="381" t="s">
        <v>606</v>
      </c>
      <c r="D88" s="380">
        <v>58</v>
      </c>
      <c r="E88" s="382" t="s">
        <v>607</v>
      </c>
      <c r="F88" s="383" t="s">
        <v>78</v>
      </c>
      <c r="G88" s="384">
        <v>105000</v>
      </c>
      <c r="H88" s="385" t="s">
        <v>2403</v>
      </c>
    </row>
    <row r="89" spans="1:8" ht="46.5">
      <c r="A89" s="379">
        <v>4120</v>
      </c>
      <c r="B89" s="380" t="s">
        <v>157</v>
      </c>
      <c r="C89" s="381" t="s">
        <v>613</v>
      </c>
      <c r="D89" s="380">
        <v>58</v>
      </c>
      <c r="E89" s="382" t="s">
        <v>614</v>
      </c>
      <c r="F89" s="383" t="s">
        <v>78</v>
      </c>
      <c r="G89" s="384">
        <v>195000</v>
      </c>
      <c r="H89" s="385" t="s">
        <v>2403</v>
      </c>
    </row>
    <row r="90" spans="1:8" ht="46.5">
      <c r="A90" s="379">
        <v>4120</v>
      </c>
      <c r="B90" s="380" t="s">
        <v>157</v>
      </c>
      <c r="C90" s="381" t="s">
        <v>589</v>
      </c>
      <c r="D90" s="380">
        <v>58</v>
      </c>
      <c r="E90" s="382" t="s">
        <v>591</v>
      </c>
      <c r="F90" s="383" t="s">
        <v>78</v>
      </c>
      <c r="G90" s="384">
        <v>220000</v>
      </c>
      <c r="H90" s="385" t="s">
        <v>2403</v>
      </c>
    </row>
    <row r="91" spans="1:8" ht="46.5">
      <c r="A91" s="379">
        <v>4120</v>
      </c>
      <c r="B91" s="380" t="s">
        <v>157</v>
      </c>
      <c r="C91" s="381" t="s">
        <v>594</v>
      </c>
      <c r="D91" s="380">
        <v>60</v>
      </c>
      <c r="E91" s="382" t="s">
        <v>595</v>
      </c>
      <c r="F91" s="383" t="s">
        <v>78</v>
      </c>
      <c r="G91" s="384">
        <v>320000</v>
      </c>
      <c r="H91" s="385" t="s">
        <v>2403</v>
      </c>
    </row>
    <row r="92" spans="1:8" ht="46.5">
      <c r="A92" s="379">
        <v>4120</v>
      </c>
      <c r="B92" s="380" t="s">
        <v>157</v>
      </c>
      <c r="C92" s="381" t="s">
        <v>600</v>
      </c>
      <c r="D92" s="380">
        <v>58</v>
      </c>
      <c r="E92" s="382" t="s">
        <v>601</v>
      </c>
      <c r="F92" s="383" t="s">
        <v>78</v>
      </c>
      <c r="G92" s="384">
        <v>520000</v>
      </c>
      <c r="H92" s="385" t="s">
        <v>2403</v>
      </c>
    </row>
    <row r="93" spans="1:8" ht="46.5">
      <c r="A93" s="379">
        <v>4120</v>
      </c>
      <c r="B93" s="380" t="s">
        <v>157</v>
      </c>
      <c r="C93" s="381" t="s">
        <v>618</v>
      </c>
      <c r="D93" s="380">
        <v>59</v>
      </c>
      <c r="E93" s="382" t="s">
        <v>619</v>
      </c>
      <c r="F93" s="383" t="s">
        <v>78</v>
      </c>
      <c r="G93" s="384">
        <v>70000</v>
      </c>
      <c r="H93" s="385" t="s">
        <v>2403</v>
      </c>
    </row>
    <row r="94" spans="1:8" ht="46.5">
      <c r="A94" s="379">
        <v>4120</v>
      </c>
      <c r="B94" s="380" t="s">
        <v>157</v>
      </c>
      <c r="C94" s="381" t="s">
        <v>624</v>
      </c>
      <c r="D94" s="380">
        <v>58</v>
      </c>
      <c r="E94" s="382" t="s">
        <v>625</v>
      </c>
      <c r="F94" s="383" t="s">
        <v>78</v>
      </c>
      <c r="G94" s="384">
        <v>56000</v>
      </c>
      <c r="H94" s="385" t="s">
        <v>2403</v>
      </c>
    </row>
    <row r="95" spans="1:8" ht="69.75">
      <c r="A95" s="379">
        <v>4120</v>
      </c>
      <c r="B95" s="380" t="s">
        <v>157</v>
      </c>
      <c r="C95" s="381" t="s">
        <v>637</v>
      </c>
      <c r="D95" s="380">
        <v>62</v>
      </c>
      <c r="E95" s="382" t="s">
        <v>638</v>
      </c>
      <c r="F95" s="383" t="s">
        <v>78</v>
      </c>
      <c r="G95" s="384">
        <v>75000</v>
      </c>
      <c r="H95" s="385" t="s">
        <v>2403</v>
      </c>
    </row>
    <row r="96" spans="1:8" ht="46.5">
      <c r="A96" s="379">
        <v>4120</v>
      </c>
      <c r="B96" s="380" t="s">
        <v>157</v>
      </c>
      <c r="C96" s="381" t="s">
        <v>641</v>
      </c>
      <c r="D96" s="380">
        <v>59</v>
      </c>
      <c r="E96" s="382" t="s">
        <v>642</v>
      </c>
      <c r="F96" s="383" t="s">
        <v>78</v>
      </c>
      <c r="G96" s="384">
        <v>53300</v>
      </c>
      <c r="H96" s="385" t="s">
        <v>2403</v>
      </c>
    </row>
    <row r="97" spans="1:8" ht="46.5">
      <c r="A97" s="379">
        <v>4120</v>
      </c>
      <c r="B97" s="380" t="s">
        <v>157</v>
      </c>
      <c r="C97" s="381" t="s">
        <v>647</v>
      </c>
      <c r="D97" s="380">
        <v>58</v>
      </c>
      <c r="E97" s="382" t="s">
        <v>648</v>
      </c>
      <c r="F97" s="383" t="s">
        <v>78</v>
      </c>
      <c r="G97" s="384">
        <v>57000</v>
      </c>
      <c r="H97" s="385" t="s">
        <v>2403</v>
      </c>
    </row>
    <row r="98" spans="1:8" ht="46.5">
      <c r="A98" s="379">
        <v>4120</v>
      </c>
      <c r="B98" s="380" t="s">
        <v>157</v>
      </c>
      <c r="C98" s="381" t="s">
        <v>653</v>
      </c>
      <c r="D98" s="380">
        <v>58</v>
      </c>
      <c r="E98" s="382" t="s">
        <v>654</v>
      </c>
      <c r="F98" s="383" t="s">
        <v>78</v>
      </c>
      <c r="G98" s="384">
        <v>48000</v>
      </c>
      <c r="H98" s="385" t="s">
        <v>2403</v>
      </c>
    </row>
    <row r="99" spans="1:8" ht="46.5">
      <c r="A99" s="379">
        <v>4120</v>
      </c>
      <c r="B99" s="380" t="s">
        <v>157</v>
      </c>
      <c r="C99" s="381" t="s">
        <v>657</v>
      </c>
      <c r="D99" s="380">
        <v>61</v>
      </c>
      <c r="E99" s="382" t="s">
        <v>658</v>
      </c>
      <c r="F99" s="383" t="s">
        <v>78</v>
      </c>
      <c r="G99" s="384">
        <v>58000</v>
      </c>
      <c r="H99" s="385" t="s">
        <v>2403</v>
      </c>
    </row>
    <row r="100" spans="1:8" ht="46.5">
      <c r="A100" s="379">
        <v>4120</v>
      </c>
      <c r="B100" s="380" t="s">
        <v>157</v>
      </c>
      <c r="C100" s="381" t="s">
        <v>663</v>
      </c>
      <c r="D100" s="380">
        <v>62</v>
      </c>
      <c r="E100" s="382" t="s">
        <v>664</v>
      </c>
      <c r="F100" s="383" t="s">
        <v>78</v>
      </c>
      <c r="G100" s="384">
        <v>61000</v>
      </c>
      <c r="H100" s="385" t="s">
        <v>2403</v>
      </c>
    </row>
    <row r="101" spans="1:8" ht="46.5">
      <c r="A101" s="379">
        <v>4120</v>
      </c>
      <c r="B101" s="380" t="s">
        <v>157</v>
      </c>
      <c r="C101" s="381" t="s">
        <v>630</v>
      </c>
      <c r="D101" s="380">
        <v>58</v>
      </c>
      <c r="E101" s="382" t="s">
        <v>665</v>
      </c>
      <c r="F101" s="383" t="s">
        <v>78</v>
      </c>
      <c r="G101" s="384">
        <v>70000</v>
      </c>
      <c r="H101" s="385" t="s">
        <v>2403</v>
      </c>
    </row>
    <row r="102" spans="1:8" ht="46.5">
      <c r="A102" s="379">
        <v>4120</v>
      </c>
      <c r="B102" s="380" t="s">
        <v>157</v>
      </c>
      <c r="C102" s="381" t="s">
        <v>668</v>
      </c>
      <c r="D102" s="380">
        <v>58</v>
      </c>
      <c r="E102" s="382" t="s">
        <v>669</v>
      </c>
      <c r="F102" s="383" t="s">
        <v>78</v>
      </c>
      <c r="G102" s="384">
        <v>210000</v>
      </c>
      <c r="H102" s="385" t="s">
        <v>2403</v>
      </c>
    </row>
    <row r="103" spans="1:8" ht="46.5">
      <c r="A103" s="379">
        <v>4120</v>
      </c>
      <c r="B103" s="380" t="s">
        <v>157</v>
      </c>
      <c r="C103" s="381" t="s">
        <v>666</v>
      </c>
      <c r="D103" s="380">
        <v>62</v>
      </c>
      <c r="E103" s="401" t="s">
        <v>667</v>
      </c>
      <c r="F103" s="383" t="s">
        <v>78</v>
      </c>
      <c r="G103" s="384">
        <v>81300</v>
      </c>
      <c r="H103" s="385" t="s">
        <v>2403</v>
      </c>
    </row>
    <row r="104" spans="1:8" ht="46.5">
      <c r="A104" s="379">
        <v>4120</v>
      </c>
      <c r="B104" s="380" t="s">
        <v>157</v>
      </c>
      <c r="C104" s="381" t="s">
        <v>670</v>
      </c>
      <c r="D104" s="380">
        <v>58</v>
      </c>
      <c r="E104" s="382" t="s">
        <v>671</v>
      </c>
      <c r="F104" s="383" t="s">
        <v>78</v>
      </c>
      <c r="G104" s="384">
        <v>295000</v>
      </c>
      <c r="H104" s="385" t="s">
        <v>2403</v>
      </c>
    </row>
    <row r="105" spans="1:8" ht="46.5">
      <c r="A105" s="379">
        <v>4120</v>
      </c>
      <c r="B105" s="380" t="s">
        <v>157</v>
      </c>
      <c r="C105" s="381" t="s">
        <v>672</v>
      </c>
      <c r="D105" s="380">
        <v>58</v>
      </c>
      <c r="E105" s="382" t="s">
        <v>673</v>
      </c>
      <c r="F105" s="383" t="s">
        <v>78</v>
      </c>
      <c r="G105" s="384">
        <v>385000</v>
      </c>
      <c r="H105" s="385" t="s">
        <v>2403</v>
      </c>
    </row>
    <row r="106" spans="1:8" ht="46.5">
      <c r="A106" s="379">
        <v>4120</v>
      </c>
      <c r="B106" s="380" t="s">
        <v>157</v>
      </c>
      <c r="C106" s="381" t="s">
        <v>674</v>
      </c>
      <c r="D106" s="380">
        <v>59</v>
      </c>
      <c r="E106" s="382" t="s">
        <v>675</v>
      </c>
      <c r="F106" s="383" t="s">
        <v>78</v>
      </c>
      <c r="G106" s="384">
        <v>750000</v>
      </c>
      <c r="H106" s="385" t="s">
        <v>2403</v>
      </c>
    </row>
    <row r="107" spans="1:8" ht="46.5">
      <c r="A107" s="379">
        <v>4140</v>
      </c>
      <c r="B107" s="380" t="s">
        <v>157</v>
      </c>
      <c r="C107" s="381" t="s">
        <v>676</v>
      </c>
      <c r="D107" s="380">
        <v>52</v>
      </c>
      <c r="E107" s="382" t="s">
        <v>677</v>
      </c>
      <c r="F107" s="383" t="s">
        <v>78</v>
      </c>
      <c r="G107" s="384">
        <v>12000</v>
      </c>
      <c r="H107" s="385" t="s">
        <v>2404</v>
      </c>
    </row>
    <row r="108" spans="1:8" ht="46.5">
      <c r="A108" s="379">
        <v>4140</v>
      </c>
      <c r="B108" s="380" t="s">
        <v>372</v>
      </c>
      <c r="C108" s="381" t="s">
        <v>678</v>
      </c>
      <c r="D108" s="380">
        <v>56</v>
      </c>
      <c r="E108" s="382" t="s">
        <v>679</v>
      </c>
      <c r="F108" s="383" t="s">
        <v>48</v>
      </c>
      <c r="G108" s="384">
        <v>35000</v>
      </c>
      <c r="H108" s="385" t="s">
        <v>2404</v>
      </c>
    </row>
    <row r="109" spans="1:8" ht="69.75">
      <c r="A109" s="379">
        <v>4140</v>
      </c>
      <c r="B109" s="380" t="s">
        <v>157</v>
      </c>
      <c r="C109" s="381" t="s">
        <v>681</v>
      </c>
      <c r="D109" s="380">
        <v>58</v>
      </c>
      <c r="E109" s="382" t="s">
        <v>682</v>
      </c>
      <c r="F109" s="383" t="s">
        <v>78</v>
      </c>
      <c r="G109" s="384">
        <v>19500</v>
      </c>
      <c r="H109" s="385" t="s">
        <v>2404</v>
      </c>
    </row>
    <row r="110" spans="1:8">
      <c r="A110" s="402"/>
      <c r="B110" s="400"/>
      <c r="C110" s="493" t="s">
        <v>4126</v>
      </c>
      <c r="D110" s="494"/>
      <c r="E110" s="494"/>
      <c r="F110" s="397"/>
      <c r="G110" s="397"/>
      <c r="H110" s="403"/>
    </row>
    <row r="111" spans="1:8" ht="69.75">
      <c r="A111" s="379">
        <v>4210</v>
      </c>
      <c r="B111" s="380" t="s">
        <v>683</v>
      </c>
      <c r="C111" s="381" t="s">
        <v>684</v>
      </c>
      <c r="D111" s="380">
        <v>62</v>
      </c>
      <c r="E111" s="382" t="s">
        <v>685</v>
      </c>
      <c r="F111" s="383" t="s">
        <v>78</v>
      </c>
      <c r="G111" s="384">
        <v>12000</v>
      </c>
      <c r="H111" s="385" t="s">
        <v>2405</v>
      </c>
    </row>
    <row r="112" spans="1:8" ht="69.75">
      <c r="A112" s="379">
        <v>4210</v>
      </c>
      <c r="B112" s="380" t="s">
        <v>683</v>
      </c>
      <c r="C112" s="381" t="s">
        <v>686</v>
      </c>
      <c r="D112" s="380">
        <v>62</v>
      </c>
      <c r="E112" s="382" t="s">
        <v>687</v>
      </c>
      <c r="F112" s="383" t="s">
        <v>78</v>
      </c>
      <c r="G112" s="384">
        <v>15000</v>
      </c>
      <c r="H112" s="385" t="s">
        <v>2405</v>
      </c>
    </row>
    <row r="113" spans="1:8" ht="46.5">
      <c r="A113" s="379">
        <v>4310</v>
      </c>
      <c r="B113" s="380" t="s">
        <v>683</v>
      </c>
      <c r="C113" s="381" t="s">
        <v>738</v>
      </c>
      <c r="D113" s="380">
        <v>62</v>
      </c>
      <c r="E113" s="382" t="s">
        <v>4155</v>
      </c>
      <c r="F113" s="383" t="s">
        <v>78</v>
      </c>
      <c r="G113" s="384">
        <v>450000</v>
      </c>
      <c r="H113" s="385" t="s">
        <v>2407</v>
      </c>
    </row>
    <row r="114" spans="1:8" s="389" customFormat="1">
      <c r="A114" s="379">
        <v>4210</v>
      </c>
      <c r="B114" s="380" t="s">
        <v>683</v>
      </c>
      <c r="C114" s="381" t="s">
        <v>688</v>
      </c>
      <c r="D114" s="380">
        <v>60</v>
      </c>
      <c r="E114" s="382" t="s">
        <v>689</v>
      </c>
      <c r="F114" s="383" t="s">
        <v>28</v>
      </c>
      <c r="G114" s="384">
        <v>6900000</v>
      </c>
      <c r="H114" s="385" t="s">
        <v>2405</v>
      </c>
    </row>
    <row r="115" spans="1:8">
      <c r="A115" s="379">
        <v>4210</v>
      </c>
      <c r="B115" s="380" t="s">
        <v>683</v>
      </c>
      <c r="C115" s="381" t="s">
        <v>4171</v>
      </c>
      <c r="D115" s="380">
        <v>62</v>
      </c>
      <c r="E115" s="382" t="s">
        <v>4172</v>
      </c>
      <c r="F115" s="383" t="s">
        <v>28</v>
      </c>
      <c r="G115" s="384">
        <v>1200000</v>
      </c>
      <c r="H115" s="385" t="s">
        <v>2405</v>
      </c>
    </row>
    <row r="116" spans="1:8">
      <c r="A116" s="379">
        <v>4210</v>
      </c>
      <c r="B116" s="380" t="s">
        <v>683</v>
      </c>
      <c r="C116" s="381" t="s">
        <v>692</v>
      </c>
      <c r="D116" s="380">
        <v>60</v>
      </c>
      <c r="E116" s="382" t="s">
        <v>693</v>
      </c>
      <c r="F116" s="383" t="s">
        <v>28</v>
      </c>
      <c r="G116" s="384">
        <v>2500000</v>
      </c>
      <c r="H116" s="385" t="s">
        <v>2405</v>
      </c>
    </row>
    <row r="117" spans="1:8">
      <c r="A117" s="379">
        <v>4210</v>
      </c>
      <c r="B117" s="380" t="s">
        <v>37</v>
      </c>
      <c r="C117" s="381" t="s">
        <v>702</v>
      </c>
      <c r="D117" s="380">
        <v>58</v>
      </c>
      <c r="E117" s="382" t="s">
        <v>703</v>
      </c>
      <c r="F117" s="383" t="s">
        <v>704</v>
      </c>
      <c r="G117" s="384">
        <v>1490000</v>
      </c>
      <c r="H117" s="385">
        <v>4210</v>
      </c>
    </row>
    <row r="118" spans="1:8">
      <c r="A118" s="379">
        <v>4210</v>
      </c>
      <c r="B118" s="380" t="s">
        <v>683</v>
      </c>
      <c r="C118" s="381" t="s">
        <v>694</v>
      </c>
      <c r="D118" s="380">
        <v>59</v>
      </c>
      <c r="E118" s="382" t="s">
        <v>695</v>
      </c>
      <c r="F118" s="383" t="s">
        <v>28</v>
      </c>
      <c r="G118" s="384">
        <v>32000000</v>
      </c>
      <c r="H118" s="385" t="s">
        <v>2405</v>
      </c>
    </row>
    <row r="119" spans="1:8">
      <c r="A119" s="379">
        <v>4210</v>
      </c>
      <c r="B119" s="380" t="s">
        <v>683</v>
      </c>
      <c r="C119" s="381" t="s">
        <v>4161</v>
      </c>
      <c r="D119" s="380">
        <v>59</v>
      </c>
      <c r="E119" s="382" t="s">
        <v>697</v>
      </c>
      <c r="F119" s="383" t="s">
        <v>28</v>
      </c>
      <c r="G119" s="384">
        <v>12000000</v>
      </c>
      <c r="H119" s="385" t="s">
        <v>2405</v>
      </c>
    </row>
    <row r="120" spans="1:8">
      <c r="A120" s="379">
        <v>4210</v>
      </c>
      <c r="B120" s="380" t="s">
        <v>683</v>
      </c>
      <c r="C120" s="381" t="s">
        <v>698</v>
      </c>
      <c r="D120" s="380">
        <v>62</v>
      </c>
      <c r="E120" s="382" t="s">
        <v>699</v>
      </c>
      <c r="F120" s="383" t="s">
        <v>28</v>
      </c>
      <c r="G120" s="384">
        <v>3500000</v>
      </c>
      <c r="H120" s="385" t="s">
        <v>2405</v>
      </c>
    </row>
    <row r="121" spans="1:8" ht="69.75">
      <c r="A121" s="379">
        <v>4210</v>
      </c>
      <c r="B121" s="380" t="s">
        <v>683</v>
      </c>
      <c r="C121" s="381" t="s">
        <v>705</v>
      </c>
      <c r="D121" s="380">
        <v>62</v>
      </c>
      <c r="E121" s="382" t="s">
        <v>706</v>
      </c>
      <c r="F121" s="383" t="s">
        <v>707</v>
      </c>
      <c r="G121" s="384">
        <v>14700</v>
      </c>
      <c r="H121" s="385" t="s">
        <v>2405</v>
      </c>
    </row>
    <row r="122" spans="1:8" ht="69.75">
      <c r="A122" s="379">
        <v>4210</v>
      </c>
      <c r="B122" s="380" t="s">
        <v>683</v>
      </c>
      <c r="C122" s="381" t="s">
        <v>708</v>
      </c>
      <c r="D122" s="380">
        <v>62</v>
      </c>
      <c r="E122" s="382" t="s">
        <v>709</v>
      </c>
      <c r="F122" s="383" t="s">
        <v>707</v>
      </c>
      <c r="G122" s="384">
        <v>16200</v>
      </c>
      <c r="H122" s="385" t="s">
        <v>2405</v>
      </c>
    </row>
    <row r="123" spans="1:8" ht="46.5">
      <c r="A123" s="379">
        <v>4210</v>
      </c>
      <c r="B123" s="380" t="s">
        <v>683</v>
      </c>
      <c r="C123" s="381" t="s">
        <v>710</v>
      </c>
      <c r="D123" s="380">
        <v>54</v>
      </c>
      <c r="E123" s="382" t="s">
        <v>711</v>
      </c>
      <c r="F123" s="383" t="s">
        <v>712</v>
      </c>
      <c r="G123" s="384">
        <v>33000</v>
      </c>
      <c r="H123" s="385" t="s">
        <v>2405</v>
      </c>
    </row>
    <row r="124" spans="1:8" ht="46.5">
      <c r="A124" s="379">
        <v>4210</v>
      </c>
      <c r="B124" s="380" t="s">
        <v>683</v>
      </c>
      <c r="C124" s="381" t="s">
        <v>714</v>
      </c>
      <c r="D124" s="380">
        <v>54</v>
      </c>
      <c r="E124" s="382" t="s">
        <v>715</v>
      </c>
      <c r="F124" s="383" t="s">
        <v>712</v>
      </c>
      <c r="G124" s="384">
        <v>39600</v>
      </c>
      <c r="H124" s="385" t="s">
        <v>2405</v>
      </c>
    </row>
    <row r="125" spans="1:8" ht="46.5">
      <c r="A125" s="379">
        <v>4210</v>
      </c>
      <c r="B125" s="380" t="s">
        <v>256</v>
      </c>
      <c r="C125" s="381" t="s">
        <v>717</v>
      </c>
      <c r="D125" s="380">
        <v>57</v>
      </c>
      <c r="E125" s="382" t="s">
        <v>718</v>
      </c>
      <c r="F125" s="383" t="s">
        <v>78</v>
      </c>
      <c r="G125" s="384">
        <v>40000</v>
      </c>
      <c r="H125" s="404"/>
    </row>
    <row r="126" spans="1:8">
      <c r="A126" s="402"/>
      <c r="B126" s="400"/>
      <c r="C126" s="493" t="s">
        <v>4127</v>
      </c>
      <c r="D126" s="494"/>
      <c r="E126" s="494"/>
      <c r="F126" s="397"/>
      <c r="G126" s="397"/>
      <c r="H126" s="403"/>
    </row>
    <row r="127" spans="1:8" ht="46.5">
      <c r="A127" s="379">
        <v>4310</v>
      </c>
      <c r="B127" s="380" t="s">
        <v>157</v>
      </c>
      <c r="C127" s="381" t="s">
        <v>722</v>
      </c>
      <c r="D127" s="380">
        <v>53</v>
      </c>
      <c r="E127" s="382" t="s">
        <v>724</v>
      </c>
      <c r="F127" s="383" t="s">
        <v>78</v>
      </c>
      <c r="G127" s="384">
        <v>9500</v>
      </c>
      <c r="H127" s="385" t="s">
        <v>2407</v>
      </c>
    </row>
    <row r="128" spans="1:8" ht="46.5">
      <c r="A128" s="379">
        <v>4310</v>
      </c>
      <c r="B128" s="380" t="s">
        <v>157</v>
      </c>
      <c r="C128" s="381" t="s">
        <v>749</v>
      </c>
      <c r="D128" s="380">
        <v>54</v>
      </c>
      <c r="E128" s="382" t="s">
        <v>751</v>
      </c>
      <c r="F128" s="383" t="s">
        <v>78</v>
      </c>
      <c r="G128" s="384">
        <v>28000</v>
      </c>
      <c r="H128" s="385" t="s">
        <v>2407</v>
      </c>
    </row>
    <row r="129" spans="1:8" ht="46.5">
      <c r="A129" s="379">
        <v>4310</v>
      </c>
      <c r="B129" s="380" t="s">
        <v>157</v>
      </c>
      <c r="C129" s="381" t="s">
        <v>763</v>
      </c>
      <c r="D129" s="380">
        <v>55</v>
      </c>
      <c r="E129" s="382" t="s">
        <v>764</v>
      </c>
      <c r="F129" s="383" t="s">
        <v>78</v>
      </c>
      <c r="G129" s="384">
        <v>29500</v>
      </c>
      <c r="H129" s="385" t="s">
        <v>2407</v>
      </c>
    </row>
    <row r="130" spans="1:8" ht="46.5">
      <c r="A130" s="379">
        <v>4310</v>
      </c>
      <c r="B130" s="380" t="s">
        <v>157</v>
      </c>
      <c r="C130" s="381" t="s">
        <v>775</v>
      </c>
      <c r="D130" s="380">
        <v>53</v>
      </c>
      <c r="E130" s="382" t="s">
        <v>776</v>
      </c>
      <c r="F130" s="383" t="s">
        <v>78</v>
      </c>
      <c r="G130" s="384">
        <v>165000</v>
      </c>
      <c r="H130" s="385" t="s">
        <v>2407</v>
      </c>
    </row>
    <row r="131" spans="1:8" ht="46.5">
      <c r="A131" s="379">
        <v>4310</v>
      </c>
      <c r="B131" s="380" t="s">
        <v>683</v>
      </c>
      <c r="C131" s="381" t="s">
        <v>738</v>
      </c>
      <c r="D131" s="380">
        <v>62</v>
      </c>
      <c r="E131" s="382" t="s">
        <v>4189</v>
      </c>
      <c r="F131" s="383" t="s">
        <v>78</v>
      </c>
      <c r="G131" s="384">
        <v>450000</v>
      </c>
      <c r="H131" s="385">
        <v>4310</v>
      </c>
    </row>
    <row r="132" spans="1:8" ht="69.75">
      <c r="A132" s="379">
        <v>4320</v>
      </c>
      <c r="B132" s="380" t="s">
        <v>256</v>
      </c>
      <c r="C132" s="381" t="s">
        <v>837</v>
      </c>
      <c r="D132" s="380">
        <v>54</v>
      </c>
      <c r="E132" s="416" t="s">
        <v>838</v>
      </c>
      <c r="F132" s="383" t="s">
        <v>78</v>
      </c>
      <c r="G132" s="384">
        <v>950000</v>
      </c>
      <c r="H132" s="385" t="s">
        <v>2409</v>
      </c>
    </row>
    <row r="133" spans="1:8" ht="69.75">
      <c r="A133" s="379">
        <v>4320</v>
      </c>
      <c r="B133" s="380" t="s">
        <v>256</v>
      </c>
      <c r="C133" s="381" t="s">
        <v>850</v>
      </c>
      <c r="D133" s="380">
        <v>54</v>
      </c>
      <c r="E133" s="382" t="s">
        <v>851</v>
      </c>
      <c r="F133" s="383" t="s">
        <v>78</v>
      </c>
      <c r="G133" s="384">
        <v>406800</v>
      </c>
      <c r="H133" s="385" t="s">
        <v>2409</v>
      </c>
    </row>
    <row r="134" spans="1:8" ht="46.5">
      <c r="A134" s="379">
        <v>4320</v>
      </c>
      <c r="B134" s="380" t="s">
        <v>256</v>
      </c>
      <c r="C134" s="381" t="s">
        <v>791</v>
      </c>
      <c r="D134" s="380">
        <v>53</v>
      </c>
      <c r="E134" s="382" t="s">
        <v>792</v>
      </c>
      <c r="F134" s="383" t="s">
        <v>78</v>
      </c>
      <c r="G134" s="384">
        <v>63400</v>
      </c>
      <c r="H134" s="385" t="s">
        <v>2409</v>
      </c>
    </row>
    <row r="135" spans="1:8" ht="46.5">
      <c r="A135" s="379">
        <v>4320</v>
      </c>
      <c r="B135" s="380" t="s">
        <v>256</v>
      </c>
      <c r="C135" s="381" t="s">
        <v>4169</v>
      </c>
      <c r="D135" s="380">
        <v>62</v>
      </c>
      <c r="E135" s="382" t="s">
        <v>4170</v>
      </c>
      <c r="F135" s="383" t="s">
        <v>78</v>
      </c>
      <c r="G135" s="384">
        <v>9100</v>
      </c>
      <c r="H135" s="385" t="s">
        <v>2409</v>
      </c>
    </row>
    <row r="136" spans="1:8" ht="46.5">
      <c r="A136" s="379">
        <v>4320</v>
      </c>
      <c r="B136" s="380" t="s">
        <v>256</v>
      </c>
      <c r="C136" s="381" t="s">
        <v>799</v>
      </c>
      <c r="D136" s="380">
        <v>55</v>
      </c>
      <c r="E136" s="382" t="s">
        <v>800</v>
      </c>
      <c r="F136" s="383" t="s">
        <v>78</v>
      </c>
      <c r="G136" s="384">
        <v>950000</v>
      </c>
      <c r="H136" s="404"/>
    </row>
    <row r="137" spans="1:8" ht="46.5">
      <c r="A137" s="379">
        <v>4320</v>
      </c>
      <c r="B137" s="380" t="s">
        <v>256</v>
      </c>
      <c r="C137" s="381" t="s">
        <v>863</v>
      </c>
      <c r="D137" s="380">
        <v>53</v>
      </c>
      <c r="E137" s="382" t="s">
        <v>864</v>
      </c>
      <c r="F137" s="383" t="s">
        <v>78</v>
      </c>
      <c r="G137" s="384">
        <v>95000</v>
      </c>
      <c r="H137" s="385" t="s">
        <v>2409</v>
      </c>
    </row>
    <row r="138" spans="1:8" ht="46.5">
      <c r="A138" s="379">
        <v>4320</v>
      </c>
      <c r="B138" s="380" t="s">
        <v>256</v>
      </c>
      <c r="C138" s="381" t="s">
        <v>865</v>
      </c>
      <c r="D138" s="380">
        <v>53</v>
      </c>
      <c r="E138" s="382" t="s">
        <v>866</v>
      </c>
      <c r="F138" s="383" t="s">
        <v>78</v>
      </c>
      <c r="G138" s="384">
        <v>120000</v>
      </c>
      <c r="H138" s="385" t="s">
        <v>2409</v>
      </c>
    </row>
    <row r="139" spans="1:8" ht="46.5">
      <c r="A139" s="379">
        <v>4320</v>
      </c>
      <c r="B139" s="380" t="s">
        <v>256</v>
      </c>
      <c r="C139" s="381" t="s">
        <v>869</v>
      </c>
      <c r="D139" s="380">
        <v>53</v>
      </c>
      <c r="E139" s="382" t="s">
        <v>870</v>
      </c>
      <c r="F139" s="383" t="s">
        <v>78</v>
      </c>
      <c r="G139" s="384">
        <v>140000</v>
      </c>
      <c r="H139" s="385" t="s">
        <v>2409</v>
      </c>
    </row>
    <row r="140" spans="1:8" ht="46.5">
      <c r="A140" s="379">
        <v>4320</v>
      </c>
      <c r="B140" s="380" t="s">
        <v>256</v>
      </c>
      <c r="C140" s="381" t="s">
        <v>861</v>
      </c>
      <c r="D140" s="380">
        <v>53</v>
      </c>
      <c r="E140" s="382" t="s">
        <v>862</v>
      </c>
      <c r="F140" s="383" t="s">
        <v>78</v>
      </c>
      <c r="G140" s="384">
        <v>150000</v>
      </c>
      <c r="H140" s="385" t="s">
        <v>2409</v>
      </c>
    </row>
    <row r="141" spans="1:8" ht="69.75">
      <c r="A141" s="379">
        <v>4320</v>
      </c>
      <c r="B141" s="380" t="s">
        <v>256</v>
      </c>
      <c r="C141" s="381" t="s">
        <v>873</v>
      </c>
      <c r="D141" s="380">
        <v>57</v>
      </c>
      <c r="E141" s="382" t="s">
        <v>874</v>
      </c>
      <c r="F141" s="383" t="s">
        <v>78</v>
      </c>
      <c r="G141" s="384">
        <v>15000</v>
      </c>
      <c r="H141" s="385" t="s">
        <v>2409</v>
      </c>
    </row>
    <row r="142" spans="1:8" ht="69.75">
      <c r="A142" s="379">
        <v>4320</v>
      </c>
      <c r="B142" s="380" t="s">
        <v>256</v>
      </c>
      <c r="C142" s="381" t="s">
        <v>871</v>
      </c>
      <c r="D142" s="380">
        <v>54</v>
      </c>
      <c r="E142" s="382" t="s">
        <v>872</v>
      </c>
      <c r="F142" s="383" t="s">
        <v>78</v>
      </c>
      <c r="G142" s="384">
        <v>30000</v>
      </c>
      <c r="H142" s="385" t="s">
        <v>2409</v>
      </c>
    </row>
    <row r="143" spans="1:8" ht="46.5">
      <c r="A143" s="379">
        <v>4320</v>
      </c>
      <c r="B143" s="380" t="s">
        <v>256</v>
      </c>
      <c r="C143" s="381" t="s">
        <v>875</v>
      </c>
      <c r="D143" s="380">
        <v>57</v>
      </c>
      <c r="E143" s="382" t="s">
        <v>876</v>
      </c>
      <c r="F143" s="383" t="s">
        <v>78</v>
      </c>
      <c r="G143" s="384">
        <v>1400000</v>
      </c>
      <c r="H143" s="385" t="s">
        <v>2409</v>
      </c>
    </row>
    <row r="144" spans="1:8" ht="46.5">
      <c r="A144" s="379">
        <v>4320</v>
      </c>
      <c r="B144" s="380" t="s">
        <v>256</v>
      </c>
      <c r="C144" s="381" t="s">
        <v>877</v>
      </c>
      <c r="D144" s="380">
        <v>57</v>
      </c>
      <c r="E144" s="382" t="s">
        <v>878</v>
      </c>
      <c r="F144" s="383" t="s">
        <v>78</v>
      </c>
      <c r="G144" s="384">
        <v>1900000</v>
      </c>
      <c r="H144" s="385" t="s">
        <v>2409</v>
      </c>
    </row>
    <row r="145" spans="1:8" ht="69.75">
      <c r="A145" s="379">
        <v>4320</v>
      </c>
      <c r="B145" s="380" t="s">
        <v>256</v>
      </c>
      <c r="C145" s="381" t="s">
        <v>880</v>
      </c>
      <c r="D145" s="380">
        <v>54</v>
      </c>
      <c r="E145" s="382" t="s">
        <v>881</v>
      </c>
      <c r="F145" s="383" t="s">
        <v>78</v>
      </c>
      <c r="G145" s="384">
        <v>91500</v>
      </c>
      <c r="H145" s="385" t="s">
        <v>2409</v>
      </c>
    </row>
    <row r="146" spans="1:8" ht="69.75">
      <c r="A146" s="379">
        <v>4320</v>
      </c>
      <c r="B146" s="380" t="s">
        <v>256</v>
      </c>
      <c r="C146" s="381" t="s">
        <v>882</v>
      </c>
      <c r="D146" s="380">
        <v>57</v>
      </c>
      <c r="E146" s="382" t="s">
        <v>883</v>
      </c>
      <c r="F146" s="383" t="s">
        <v>78</v>
      </c>
      <c r="G146" s="384">
        <v>400000</v>
      </c>
      <c r="H146" s="385" t="s">
        <v>2409</v>
      </c>
    </row>
    <row r="147" spans="1:8" ht="46.5">
      <c r="A147" s="379">
        <v>4320</v>
      </c>
      <c r="B147" s="380" t="s">
        <v>256</v>
      </c>
      <c r="C147" s="381" t="s">
        <v>884</v>
      </c>
      <c r="D147" s="380">
        <v>59</v>
      </c>
      <c r="E147" s="382" t="s">
        <v>4114</v>
      </c>
      <c r="F147" s="383" t="s">
        <v>78</v>
      </c>
      <c r="G147" s="384">
        <v>40000</v>
      </c>
      <c r="H147" s="385" t="s">
        <v>2409</v>
      </c>
    </row>
    <row r="148" spans="1:8" ht="69.75">
      <c r="A148" s="379">
        <v>4320</v>
      </c>
      <c r="B148" s="380" t="s">
        <v>256</v>
      </c>
      <c r="C148" s="381" t="s">
        <v>890</v>
      </c>
      <c r="D148" s="380">
        <v>57</v>
      </c>
      <c r="E148" s="382" t="s">
        <v>891</v>
      </c>
      <c r="F148" s="383" t="s">
        <v>78</v>
      </c>
      <c r="G148" s="384">
        <v>130000</v>
      </c>
      <c r="H148" s="385" t="s">
        <v>2409</v>
      </c>
    </row>
    <row r="149" spans="1:8" ht="69.75">
      <c r="A149" s="379">
        <v>4320</v>
      </c>
      <c r="B149" s="380" t="s">
        <v>256</v>
      </c>
      <c r="C149" s="381" t="s">
        <v>887</v>
      </c>
      <c r="D149" s="380">
        <v>57</v>
      </c>
      <c r="E149" s="382" t="s">
        <v>888</v>
      </c>
      <c r="F149" s="383" t="s">
        <v>78</v>
      </c>
      <c r="G149" s="384">
        <v>450000</v>
      </c>
      <c r="H149" s="385" t="s">
        <v>2409</v>
      </c>
    </row>
    <row r="150" spans="1:8" ht="46.5">
      <c r="A150" s="379">
        <v>4320</v>
      </c>
      <c r="B150" s="380" t="s">
        <v>256</v>
      </c>
      <c r="C150" s="381" t="s">
        <v>900</v>
      </c>
      <c r="D150" s="380">
        <v>57</v>
      </c>
      <c r="E150" s="382" t="s">
        <v>901</v>
      </c>
      <c r="F150" s="383" t="s">
        <v>78</v>
      </c>
      <c r="G150" s="384">
        <v>15000</v>
      </c>
      <c r="H150" s="385" t="s">
        <v>2409</v>
      </c>
    </row>
    <row r="151" spans="1:8" ht="46.5">
      <c r="A151" s="379">
        <v>4320</v>
      </c>
      <c r="B151" s="380" t="s">
        <v>256</v>
      </c>
      <c r="C151" s="381" t="s">
        <v>915</v>
      </c>
      <c r="D151" s="380">
        <v>54</v>
      </c>
      <c r="E151" s="382" t="s">
        <v>4190</v>
      </c>
      <c r="F151" s="383" t="s">
        <v>78</v>
      </c>
      <c r="G151" s="384">
        <v>45000</v>
      </c>
      <c r="H151" s="385" t="s">
        <v>2409</v>
      </c>
    </row>
    <row r="152" spans="1:8" ht="46.5">
      <c r="A152" s="379">
        <v>4320</v>
      </c>
      <c r="B152" s="380" t="s">
        <v>256</v>
      </c>
      <c r="C152" s="381" t="s">
        <v>892</v>
      </c>
      <c r="D152" s="380">
        <v>56</v>
      </c>
      <c r="E152" s="382" t="s">
        <v>893</v>
      </c>
      <c r="F152" s="383" t="s">
        <v>78</v>
      </c>
      <c r="G152" s="384">
        <v>90000</v>
      </c>
      <c r="H152" s="385" t="s">
        <v>2409</v>
      </c>
    </row>
    <row r="153" spans="1:8" ht="46.5">
      <c r="A153" s="379">
        <v>4320</v>
      </c>
      <c r="B153" s="380" t="s">
        <v>256</v>
      </c>
      <c r="C153" s="381" t="s">
        <v>896</v>
      </c>
      <c r="D153" s="380">
        <v>53</v>
      </c>
      <c r="E153" s="382" t="s">
        <v>897</v>
      </c>
      <c r="F153" s="383" t="s">
        <v>78</v>
      </c>
      <c r="G153" s="384">
        <v>110000</v>
      </c>
      <c r="H153" s="385" t="s">
        <v>2409</v>
      </c>
    </row>
    <row r="154" spans="1:8" ht="46.5">
      <c r="A154" s="379">
        <v>4320</v>
      </c>
      <c r="B154" s="380" t="s">
        <v>256</v>
      </c>
      <c r="C154" s="381" t="s">
        <v>898</v>
      </c>
      <c r="D154" s="380">
        <v>56</v>
      </c>
      <c r="E154" s="382" t="s">
        <v>899</v>
      </c>
      <c r="F154" s="383" t="s">
        <v>78</v>
      </c>
      <c r="G154" s="384">
        <v>175000</v>
      </c>
      <c r="H154" s="385" t="s">
        <v>2409</v>
      </c>
    </row>
    <row r="155" spans="1:8" ht="46.5">
      <c r="A155" s="379">
        <v>4320</v>
      </c>
      <c r="B155" s="380" t="s">
        <v>256</v>
      </c>
      <c r="C155" s="381" t="s">
        <v>902</v>
      </c>
      <c r="D155" s="380">
        <v>57</v>
      </c>
      <c r="E155" s="382" t="s">
        <v>903</v>
      </c>
      <c r="F155" s="383" t="s">
        <v>78</v>
      </c>
      <c r="G155" s="384">
        <v>265000</v>
      </c>
      <c r="H155" s="385" t="s">
        <v>2409</v>
      </c>
    </row>
    <row r="156" spans="1:8" ht="46.5">
      <c r="A156" s="379">
        <v>4320</v>
      </c>
      <c r="B156" s="380" t="s">
        <v>256</v>
      </c>
      <c r="C156" s="381" t="s">
        <v>904</v>
      </c>
      <c r="D156" s="380">
        <v>57</v>
      </c>
      <c r="E156" s="382" t="s">
        <v>905</v>
      </c>
      <c r="F156" s="383" t="s">
        <v>78</v>
      </c>
      <c r="G156" s="384">
        <v>11000</v>
      </c>
      <c r="H156" s="385" t="s">
        <v>2409</v>
      </c>
    </row>
    <row r="157" spans="1:8" s="389" customFormat="1" ht="46.5">
      <c r="A157" s="379">
        <v>4320</v>
      </c>
      <c r="B157" s="380" t="s">
        <v>256</v>
      </c>
      <c r="C157" s="381" t="s">
        <v>894</v>
      </c>
      <c r="D157" s="380">
        <v>57</v>
      </c>
      <c r="E157" s="382" t="s">
        <v>895</v>
      </c>
      <c r="F157" s="383" t="s">
        <v>78</v>
      </c>
      <c r="G157" s="384">
        <v>18200</v>
      </c>
      <c r="H157" s="385" t="s">
        <v>2409</v>
      </c>
    </row>
    <row r="158" spans="1:8" ht="46.5">
      <c r="A158" s="379">
        <v>4320</v>
      </c>
      <c r="B158" s="380" t="s">
        <v>256</v>
      </c>
      <c r="C158" s="381" t="s">
        <v>907</v>
      </c>
      <c r="D158" s="380">
        <v>54</v>
      </c>
      <c r="E158" s="382" t="s">
        <v>908</v>
      </c>
      <c r="F158" s="383" t="s">
        <v>78</v>
      </c>
      <c r="G158" s="384">
        <v>60000</v>
      </c>
      <c r="H158" s="385" t="s">
        <v>2409</v>
      </c>
    </row>
    <row r="159" spans="1:8" ht="46.5">
      <c r="A159" s="379">
        <v>4320</v>
      </c>
      <c r="B159" s="380" t="s">
        <v>256</v>
      </c>
      <c r="C159" s="381" t="s">
        <v>909</v>
      </c>
      <c r="D159" s="380">
        <v>54</v>
      </c>
      <c r="E159" s="382" t="s">
        <v>910</v>
      </c>
      <c r="F159" s="383" t="s">
        <v>78</v>
      </c>
      <c r="G159" s="384">
        <v>8500</v>
      </c>
      <c r="H159" s="385" t="s">
        <v>2409</v>
      </c>
    </row>
    <row r="160" spans="1:8" ht="46.5">
      <c r="A160" s="379">
        <v>4320</v>
      </c>
      <c r="B160" s="380" t="s">
        <v>256</v>
      </c>
      <c r="C160" s="381" t="s">
        <v>911</v>
      </c>
      <c r="D160" s="380">
        <v>54</v>
      </c>
      <c r="E160" s="382" t="s">
        <v>912</v>
      </c>
      <c r="F160" s="383" t="s">
        <v>78</v>
      </c>
      <c r="G160" s="384">
        <v>14000</v>
      </c>
      <c r="H160" s="385" t="s">
        <v>2409</v>
      </c>
    </row>
    <row r="161" spans="1:8" ht="46.5">
      <c r="A161" s="379">
        <v>4320</v>
      </c>
      <c r="B161" s="380" t="s">
        <v>256</v>
      </c>
      <c r="C161" s="381" t="s">
        <v>913</v>
      </c>
      <c r="D161" s="380">
        <v>54</v>
      </c>
      <c r="E161" s="382" t="s">
        <v>914</v>
      </c>
      <c r="F161" s="383" t="s">
        <v>78</v>
      </c>
      <c r="G161" s="384">
        <v>21000</v>
      </c>
      <c r="H161" s="385" t="s">
        <v>2409</v>
      </c>
    </row>
    <row r="162" spans="1:8" ht="46.5">
      <c r="A162" s="379">
        <v>4320</v>
      </c>
      <c r="B162" s="380" t="s">
        <v>256</v>
      </c>
      <c r="C162" s="381" t="s">
        <v>921</v>
      </c>
      <c r="D162" s="380">
        <v>56</v>
      </c>
      <c r="E162" s="401" t="s">
        <v>922</v>
      </c>
      <c r="F162" s="383" t="s">
        <v>78</v>
      </c>
      <c r="G162" s="384">
        <v>75000</v>
      </c>
      <c r="H162" s="385" t="s">
        <v>2409</v>
      </c>
    </row>
    <row r="163" spans="1:8" ht="46.5">
      <c r="A163" s="379">
        <v>4320</v>
      </c>
      <c r="B163" s="380" t="s">
        <v>256</v>
      </c>
      <c r="C163" s="381" t="s">
        <v>917</v>
      </c>
      <c r="D163" s="380">
        <v>56</v>
      </c>
      <c r="E163" s="401" t="s">
        <v>918</v>
      </c>
      <c r="F163" s="383" t="s">
        <v>78</v>
      </c>
      <c r="G163" s="384">
        <v>260000</v>
      </c>
      <c r="H163" s="385" t="s">
        <v>2409</v>
      </c>
    </row>
    <row r="164" spans="1:8">
      <c r="A164" s="406"/>
      <c r="B164" s="400"/>
      <c r="C164" s="400" t="s">
        <v>4128</v>
      </c>
      <c r="D164" s="406"/>
      <c r="E164" s="399"/>
      <c r="F164" s="407"/>
      <c r="G164" s="408"/>
      <c r="H164" s="409"/>
    </row>
    <row r="165" spans="1:8" ht="46.5">
      <c r="A165" s="379">
        <v>4440</v>
      </c>
      <c r="B165" s="380" t="s">
        <v>372</v>
      </c>
      <c r="C165" s="381" t="s">
        <v>933</v>
      </c>
      <c r="D165" s="380">
        <v>55</v>
      </c>
      <c r="E165" s="382" t="s">
        <v>934</v>
      </c>
      <c r="F165" s="383" t="s">
        <v>78</v>
      </c>
      <c r="G165" s="384">
        <v>255000</v>
      </c>
      <c r="H165" s="385" t="s">
        <v>2411</v>
      </c>
    </row>
    <row r="166" spans="1:8" ht="46.5">
      <c r="A166" s="379">
        <v>4440</v>
      </c>
      <c r="B166" s="380" t="s">
        <v>372</v>
      </c>
      <c r="C166" s="381" t="s">
        <v>927</v>
      </c>
      <c r="D166" s="380">
        <v>55</v>
      </c>
      <c r="E166" s="382" t="s">
        <v>928</v>
      </c>
      <c r="F166" s="383" t="s">
        <v>78</v>
      </c>
      <c r="G166" s="384">
        <v>455000</v>
      </c>
      <c r="H166" s="385" t="s">
        <v>2411</v>
      </c>
    </row>
    <row r="167" spans="1:8" s="389" customFormat="1" ht="46.5">
      <c r="A167" s="379">
        <v>4440</v>
      </c>
      <c r="B167" s="380" t="s">
        <v>372</v>
      </c>
      <c r="C167" s="381" t="s">
        <v>929</v>
      </c>
      <c r="D167" s="380">
        <v>55</v>
      </c>
      <c r="E167" s="382" t="s">
        <v>930</v>
      </c>
      <c r="F167" s="383" t="s">
        <v>78</v>
      </c>
      <c r="G167" s="384">
        <v>650000</v>
      </c>
      <c r="H167" s="385" t="s">
        <v>2411</v>
      </c>
    </row>
    <row r="168" spans="1:8" ht="46.5">
      <c r="A168" s="379">
        <v>4440</v>
      </c>
      <c r="B168" s="380" t="s">
        <v>372</v>
      </c>
      <c r="C168" s="381" t="s">
        <v>931</v>
      </c>
      <c r="D168" s="380">
        <v>55</v>
      </c>
      <c r="E168" s="382" t="s">
        <v>932</v>
      </c>
      <c r="F168" s="383" t="s">
        <v>78</v>
      </c>
      <c r="G168" s="384">
        <v>850000</v>
      </c>
      <c r="H168" s="385" t="s">
        <v>2411</v>
      </c>
    </row>
    <row r="169" spans="1:8" ht="69.75">
      <c r="A169" s="379">
        <v>4460</v>
      </c>
      <c r="B169" s="380" t="s">
        <v>157</v>
      </c>
      <c r="C169" s="381" t="s">
        <v>939</v>
      </c>
      <c r="D169" s="380">
        <v>52</v>
      </c>
      <c r="E169" s="382" t="s">
        <v>940</v>
      </c>
      <c r="F169" s="383" t="s">
        <v>78</v>
      </c>
      <c r="G169" s="384">
        <v>47000</v>
      </c>
      <c r="H169" s="385" t="s">
        <v>2413</v>
      </c>
    </row>
    <row r="170" spans="1:8" ht="69.75">
      <c r="A170" s="379">
        <v>4460</v>
      </c>
      <c r="B170" s="380" t="s">
        <v>372</v>
      </c>
      <c r="C170" s="381" t="s">
        <v>936</v>
      </c>
      <c r="D170" s="380">
        <v>52</v>
      </c>
      <c r="E170" s="382" t="s">
        <v>937</v>
      </c>
      <c r="F170" s="383" t="s">
        <v>78</v>
      </c>
      <c r="G170" s="384">
        <v>55000</v>
      </c>
      <c r="H170" s="385" t="s">
        <v>2413</v>
      </c>
    </row>
    <row r="171" spans="1:8" s="389" customFormat="1" ht="46.5">
      <c r="A171" s="379">
        <v>4460</v>
      </c>
      <c r="B171" s="380" t="s">
        <v>683</v>
      </c>
      <c r="C171" s="381" t="s">
        <v>935</v>
      </c>
      <c r="D171" s="380">
        <v>61</v>
      </c>
      <c r="E171" s="382" t="s">
        <v>720</v>
      </c>
      <c r="F171" s="383" t="s">
        <v>78</v>
      </c>
      <c r="G171" s="384">
        <v>175000</v>
      </c>
      <c r="H171" s="385" t="s">
        <v>2413</v>
      </c>
    </row>
    <row r="172" spans="1:8" ht="46.5">
      <c r="A172" s="379">
        <v>4460</v>
      </c>
      <c r="B172" s="380" t="s">
        <v>683</v>
      </c>
      <c r="C172" s="381" t="s">
        <v>941</v>
      </c>
      <c r="D172" s="380">
        <v>52</v>
      </c>
      <c r="E172" s="382" t="s">
        <v>942</v>
      </c>
      <c r="F172" s="383" t="s">
        <v>78</v>
      </c>
      <c r="G172" s="384">
        <v>300000</v>
      </c>
      <c r="H172" s="385" t="s">
        <v>2413</v>
      </c>
    </row>
    <row r="173" spans="1:8" ht="46.5">
      <c r="A173" s="379">
        <v>4460</v>
      </c>
      <c r="B173" s="380" t="s">
        <v>683</v>
      </c>
      <c r="C173" s="381" t="s">
        <v>943</v>
      </c>
      <c r="D173" s="380">
        <v>62</v>
      </c>
      <c r="E173" s="382" t="s">
        <v>944</v>
      </c>
      <c r="F173" s="383" t="s">
        <v>78</v>
      </c>
      <c r="G173" s="384">
        <v>790000</v>
      </c>
      <c r="H173" s="385" t="s">
        <v>2413</v>
      </c>
    </row>
    <row r="174" spans="1:8">
      <c r="A174" s="406"/>
      <c r="B174" s="400"/>
      <c r="C174" s="400" t="s">
        <v>4129</v>
      </c>
      <c r="D174" s="406"/>
      <c r="E174" s="399"/>
      <c r="F174" s="407"/>
      <c r="G174" s="408"/>
      <c r="H174" s="409"/>
    </row>
    <row r="175" spans="1:8" ht="46.5">
      <c r="A175" s="379">
        <v>4520</v>
      </c>
      <c r="B175" s="380" t="s">
        <v>157</v>
      </c>
      <c r="C175" s="381" t="s">
        <v>947</v>
      </c>
      <c r="D175" s="380">
        <v>52</v>
      </c>
      <c r="E175" s="382" t="s">
        <v>948</v>
      </c>
      <c r="F175" s="383" t="s">
        <v>78</v>
      </c>
      <c r="G175" s="384">
        <v>28000</v>
      </c>
      <c r="H175" s="385" t="s">
        <v>2414</v>
      </c>
    </row>
    <row r="176" spans="1:8" ht="46.5">
      <c r="A176" s="379">
        <v>4520</v>
      </c>
      <c r="B176" s="380" t="s">
        <v>157</v>
      </c>
      <c r="C176" s="381" t="s">
        <v>949</v>
      </c>
      <c r="D176" s="380">
        <v>62</v>
      </c>
      <c r="E176" s="382" t="s">
        <v>950</v>
      </c>
      <c r="F176" s="383" t="s">
        <v>78</v>
      </c>
      <c r="G176" s="384">
        <v>25000</v>
      </c>
      <c r="H176" s="385" t="s">
        <v>2414</v>
      </c>
    </row>
    <row r="177" spans="1:8">
      <c r="A177" s="379">
        <v>4520</v>
      </c>
      <c r="B177" s="380" t="s">
        <v>157</v>
      </c>
      <c r="C177" s="381" t="s">
        <v>951</v>
      </c>
      <c r="D177" s="380">
        <v>55</v>
      </c>
      <c r="E177" s="382" t="s">
        <v>952</v>
      </c>
      <c r="F177" s="383" t="s">
        <v>48</v>
      </c>
      <c r="G177" s="384">
        <v>8500</v>
      </c>
      <c r="H177" s="385" t="s">
        <v>2414</v>
      </c>
    </row>
    <row r="178" spans="1:8">
      <c r="A178" s="406"/>
      <c r="B178" s="400"/>
      <c r="C178" s="400" t="s">
        <v>4130</v>
      </c>
      <c r="D178" s="399"/>
      <c r="E178" s="399"/>
      <c r="F178" s="408"/>
      <c r="G178" s="408"/>
      <c r="H178" s="409"/>
    </row>
    <row r="179" spans="1:8" ht="46.5">
      <c r="A179" s="379">
        <v>4610</v>
      </c>
      <c r="B179" s="380" t="s">
        <v>256</v>
      </c>
      <c r="C179" s="381" t="s">
        <v>954</v>
      </c>
      <c r="D179" s="380">
        <v>58</v>
      </c>
      <c r="E179" s="382" t="s">
        <v>955</v>
      </c>
      <c r="F179" s="383" t="s">
        <v>78</v>
      </c>
      <c r="G179" s="384">
        <v>22000</v>
      </c>
      <c r="H179" s="385" t="s">
        <v>2415</v>
      </c>
    </row>
    <row r="180" spans="1:8" ht="46.5">
      <c r="A180" s="379">
        <v>4610</v>
      </c>
      <c r="B180" s="380" t="s">
        <v>256</v>
      </c>
      <c r="C180" s="381" t="s">
        <v>956</v>
      </c>
      <c r="D180" s="380">
        <v>54</v>
      </c>
      <c r="E180" s="382" t="s">
        <v>957</v>
      </c>
      <c r="F180" s="383" t="s">
        <v>78</v>
      </c>
      <c r="G180" s="384">
        <v>24000</v>
      </c>
      <c r="H180" s="385" t="s">
        <v>2415</v>
      </c>
    </row>
    <row r="181" spans="1:8" ht="46.5">
      <c r="A181" s="379">
        <v>4630</v>
      </c>
      <c r="B181" s="380" t="s">
        <v>256</v>
      </c>
      <c r="C181" s="381" t="s">
        <v>958</v>
      </c>
      <c r="D181" s="380">
        <v>55</v>
      </c>
      <c r="E181" s="382" t="s">
        <v>959</v>
      </c>
      <c r="F181" s="383" t="s">
        <v>78</v>
      </c>
      <c r="G181" s="384">
        <v>37000</v>
      </c>
      <c r="H181" s="385" t="s">
        <v>2418</v>
      </c>
    </row>
    <row r="182" spans="1:8" ht="46.5">
      <c r="A182" s="379">
        <v>4630</v>
      </c>
      <c r="B182" s="380" t="s">
        <v>157</v>
      </c>
      <c r="C182" s="381" t="s">
        <v>960</v>
      </c>
      <c r="D182" s="380">
        <v>54</v>
      </c>
      <c r="E182" s="382" t="s">
        <v>961</v>
      </c>
      <c r="F182" s="383" t="s">
        <v>78</v>
      </c>
      <c r="G182" s="384">
        <v>25000</v>
      </c>
      <c r="H182" s="385" t="s">
        <v>2418</v>
      </c>
    </row>
    <row r="183" spans="1:8" ht="46.5">
      <c r="A183" s="379">
        <v>4630</v>
      </c>
      <c r="B183" s="380" t="s">
        <v>256</v>
      </c>
      <c r="C183" s="381" t="s">
        <v>962</v>
      </c>
      <c r="D183" s="380">
        <v>55</v>
      </c>
      <c r="E183" s="382" t="s">
        <v>963</v>
      </c>
      <c r="F183" s="383" t="s">
        <v>78</v>
      </c>
      <c r="G183" s="384">
        <v>250000</v>
      </c>
      <c r="H183" s="385" t="s">
        <v>2418</v>
      </c>
    </row>
    <row r="184" spans="1:8">
      <c r="A184" s="406"/>
      <c r="B184" s="400"/>
      <c r="C184" s="400" t="s">
        <v>4131</v>
      </c>
      <c r="D184" s="399"/>
      <c r="E184" s="399"/>
      <c r="F184" s="410"/>
      <c r="G184" s="410"/>
      <c r="H184" s="403"/>
    </row>
    <row r="185" spans="1:8" ht="46.5">
      <c r="A185" s="379">
        <v>4910</v>
      </c>
      <c r="B185" s="380" t="s">
        <v>157</v>
      </c>
      <c r="C185" s="381" t="s">
        <v>966</v>
      </c>
      <c r="D185" s="380">
        <v>53</v>
      </c>
      <c r="E185" s="382" t="s">
        <v>967</v>
      </c>
      <c r="F185" s="383" t="s">
        <v>78</v>
      </c>
      <c r="G185" s="384">
        <v>165000</v>
      </c>
      <c r="H185" s="385" t="s">
        <v>2419</v>
      </c>
    </row>
    <row r="186" spans="1:8" ht="46.5">
      <c r="A186" s="379">
        <v>4930</v>
      </c>
      <c r="B186" s="380" t="s">
        <v>157</v>
      </c>
      <c r="C186" s="381" t="s">
        <v>968</v>
      </c>
      <c r="D186" s="380">
        <v>53</v>
      </c>
      <c r="E186" s="382" t="s">
        <v>969</v>
      </c>
      <c r="F186" s="383" t="s">
        <v>78</v>
      </c>
      <c r="G186" s="384">
        <v>27000</v>
      </c>
      <c r="H186" s="385" t="s">
        <v>2422</v>
      </c>
    </row>
    <row r="187" spans="1:8" ht="46.5">
      <c r="A187" s="379">
        <v>4930</v>
      </c>
      <c r="B187" s="380" t="s">
        <v>157</v>
      </c>
      <c r="C187" s="381" t="s">
        <v>970</v>
      </c>
      <c r="D187" s="380">
        <v>53</v>
      </c>
      <c r="E187" s="382" t="s">
        <v>971</v>
      </c>
      <c r="F187" s="383" t="s">
        <v>78</v>
      </c>
      <c r="G187" s="384">
        <v>25000</v>
      </c>
      <c r="H187" s="385" t="s">
        <v>2422</v>
      </c>
    </row>
    <row r="188" spans="1:8">
      <c r="A188" s="406"/>
      <c r="B188" s="400"/>
      <c r="C188" s="400" t="s">
        <v>4132</v>
      </c>
      <c r="D188" s="399"/>
      <c r="E188" s="399"/>
      <c r="F188" s="410"/>
      <c r="G188" s="410"/>
      <c r="H188" s="403"/>
    </row>
    <row r="189" spans="1:8" ht="46.5">
      <c r="A189" s="379">
        <v>5110</v>
      </c>
      <c r="B189" s="380" t="s">
        <v>37</v>
      </c>
      <c r="C189" s="381" t="s">
        <v>972</v>
      </c>
      <c r="D189" s="380">
        <v>53</v>
      </c>
      <c r="E189" s="382" t="s">
        <v>973</v>
      </c>
      <c r="F189" s="383" t="s">
        <v>78</v>
      </c>
      <c r="G189" s="384">
        <v>80000</v>
      </c>
      <c r="H189" s="385" t="s">
        <v>2425</v>
      </c>
    </row>
    <row r="190" spans="1:8" ht="46.5">
      <c r="A190" s="379">
        <v>5120</v>
      </c>
      <c r="B190" s="380" t="s">
        <v>157</v>
      </c>
      <c r="C190" s="381" t="s">
        <v>974</v>
      </c>
      <c r="D190" s="380">
        <v>52</v>
      </c>
      <c r="E190" s="382" t="s">
        <v>975</v>
      </c>
      <c r="F190" s="383" t="s">
        <v>53</v>
      </c>
      <c r="G190" s="384">
        <v>15000</v>
      </c>
      <c r="H190" s="385" t="s">
        <v>2426</v>
      </c>
    </row>
    <row r="191" spans="1:8" ht="46.5">
      <c r="A191" s="379">
        <v>5120</v>
      </c>
      <c r="B191" s="380" t="s">
        <v>37</v>
      </c>
      <c r="C191" s="381" t="s">
        <v>4191</v>
      </c>
      <c r="D191" s="380">
        <v>62</v>
      </c>
      <c r="E191" s="382" t="s">
        <v>978</v>
      </c>
      <c r="F191" s="383" t="s">
        <v>78</v>
      </c>
      <c r="G191" s="384">
        <v>210000</v>
      </c>
      <c r="H191" s="385">
        <v>5120</v>
      </c>
    </row>
    <row r="192" spans="1:8" ht="46.5">
      <c r="A192" s="379">
        <v>5120</v>
      </c>
      <c r="B192" s="380" t="s">
        <v>157</v>
      </c>
      <c r="C192" s="381" t="s">
        <v>979</v>
      </c>
      <c r="D192" s="380">
        <v>52</v>
      </c>
      <c r="E192" s="382" t="s">
        <v>980</v>
      </c>
      <c r="F192" s="383" t="s">
        <v>48</v>
      </c>
      <c r="G192" s="384">
        <v>6500</v>
      </c>
      <c r="H192" s="385" t="s">
        <v>2426</v>
      </c>
    </row>
    <row r="193" spans="1:8" ht="46.5">
      <c r="A193" s="379">
        <v>5120</v>
      </c>
      <c r="B193" s="380" t="s">
        <v>157</v>
      </c>
      <c r="C193" s="381" t="s">
        <v>981</v>
      </c>
      <c r="D193" s="380">
        <v>54</v>
      </c>
      <c r="E193" s="382" t="s">
        <v>982</v>
      </c>
      <c r="F193" s="383" t="s">
        <v>48</v>
      </c>
      <c r="G193" s="384">
        <v>7500</v>
      </c>
      <c r="H193" s="385" t="s">
        <v>2426</v>
      </c>
    </row>
    <row r="194" spans="1:8">
      <c r="A194" s="379">
        <v>5120</v>
      </c>
      <c r="B194" s="380" t="s">
        <v>157</v>
      </c>
      <c r="C194" s="381" t="s">
        <v>985</v>
      </c>
      <c r="D194" s="380">
        <v>53</v>
      </c>
      <c r="E194" s="382" t="s">
        <v>984</v>
      </c>
      <c r="F194" s="383" t="s">
        <v>48</v>
      </c>
      <c r="G194" s="384">
        <v>28000</v>
      </c>
      <c r="H194" s="385" t="s">
        <v>2426</v>
      </c>
    </row>
    <row r="195" spans="1:8">
      <c r="A195" s="379">
        <v>5120</v>
      </c>
      <c r="B195" s="380" t="s">
        <v>157</v>
      </c>
      <c r="C195" s="381" t="s">
        <v>985</v>
      </c>
      <c r="D195" s="380">
        <v>54</v>
      </c>
      <c r="E195" s="382" t="s">
        <v>986</v>
      </c>
      <c r="F195" s="383" t="s">
        <v>48</v>
      </c>
      <c r="G195" s="384">
        <v>15000</v>
      </c>
      <c r="H195" s="385" t="s">
        <v>2426</v>
      </c>
    </row>
    <row r="196" spans="1:8">
      <c r="A196" s="379">
        <v>5120</v>
      </c>
      <c r="B196" s="380" t="s">
        <v>157</v>
      </c>
      <c r="C196" s="381" t="s">
        <v>990</v>
      </c>
      <c r="D196" s="380">
        <v>54</v>
      </c>
      <c r="E196" s="382" t="s">
        <v>991</v>
      </c>
      <c r="F196" s="383" t="s">
        <v>48</v>
      </c>
      <c r="G196" s="384">
        <v>28000</v>
      </c>
      <c r="H196" s="385" t="s">
        <v>2426</v>
      </c>
    </row>
    <row r="197" spans="1:8">
      <c r="A197" s="379">
        <v>5120</v>
      </c>
      <c r="B197" s="380" t="s">
        <v>157</v>
      </c>
      <c r="C197" s="381" t="s">
        <v>987</v>
      </c>
      <c r="D197" s="380">
        <v>54</v>
      </c>
      <c r="E197" s="382" t="s">
        <v>989</v>
      </c>
      <c r="F197" s="383" t="s">
        <v>48</v>
      </c>
      <c r="G197" s="384">
        <v>65000</v>
      </c>
      <c r="H197" s="385" t="s">
        <v>2426</v>
      </c>
    </row>
    <row r="198" spans="1:8" ht="46.5">
      <c r="A198" s="379">
        <v>5130</v>
      </c>
      <c r="B198" s="380" t="s">
        <v>191</v>
      </c>
      <c r="C198" s="381" t="s">
        <v>992</v>
      </c>
      <c r="D198" s="380">
        <v>59</v>
      </c>
      <c r="E198" s="382" t="s">
        <v>993</v>
      </c>
      <c r="F198" s="383" t="s">
        <v>78</v>
      </c>
      <c r="G198" s="384">
        <v>15000</v>
      </c>
      <c r="H198" s="385" t="s">
        <v>2427</v>
      </c>
    </row>
    <row r="199" spans="1:8" ht="46.5">
      <c r="A199" s="379">
        <v>5130</v>
      </c>
      <c r="B199" s="380" t="s">
        <v>191</v>
      </c>
      <c r="C199" s="381" t="s">
        <v>995</v>
      </c>
      <c r="D199" s="380">
        <v>59</v>
      </c>
      <c r="E199" s="382" t="s">
        <v>997</v>
      </c>
      <c r="F199" s="383" t="s">
        <v>78</v>
      </c>
      <c r="G199" s="384">
        <v>19500</v>
      </c>
      <c r="H199" s="385" t="s">
        <v>2427</v>
      </c>
    </row>
    <row r="200" spans="1:8" ht="46.5">
      <c r="A200" s="379">
        <v>5130</v>
      </c>
      <c r="B200" s="380" t="s">
        <v>191</v>
      </c>
      <c r="C200" s="381" t="s">
        <v>998</v>
      </c>
      <c r="D200" s="380">
        <v>55</v>
      </c>
      <c r="E200" s="382" t="s">
        <v>999</v>
      </c>
      <c r="F200" s="383" t="s">
        <v>78</v>
      </c>
      <c r="G200" s="384">
        <v>13700</v>
      </c>
      <c r="H200" s="385" t="s">
        <v>2427</v>
      </c>
    </row>
    <row r="201" spans="1:8" ht="46.5">
      <c r="A201" s="379">
        <v>5130</v>
      </c>
      <c r="B201" s="380" t="s">
        <v>157</v>
      </c>
      <c r="C201" s="381" t="s">
        <v>1000</v>
      </c>
      <c r="D201" s="380">
        <v>54</v>
      </c>
      <c r="E201" s="382" t="s">
        <v>1001</v>
      </c>
      <c r="F201" s="383" t="s">
        <v>78</v>
      </c>
      <c r="G201" s="384">
        <v>5500</v>
      </c>
      <c r="H201" s="385" t="s">
        <v>2427</v>
      </c>
    </row>
    <row r="202" spans="1:8" ht="46.5">
      <c r="A202" s="379">
        <v>5130</v>
      </c>
      <c r="B202" s="380" t="s">
        <v>191</v>
      </c>
      <c r="C202" s="381" t="s">
        <v>1002</v>
      </c>
      <c r="D202" s="380">
        <v>58</v>
      </c>
      <c r="E202" s="382" t="s">
        <v>1003</v>
      </c>
      <c r="F202" s="383" t="s">
        <v>78</v>
      </c>
      <c r="G202" s="384">
        <v>6300</v>
      </c>
      <c r="H202" s="385" t="s">
        <v>2427</v>
      </c>
    </row>
    <row r="203" spans="1:8" ht="46.5">
      <c r="A203" s="379">
        <v>5130</v>
      </c>
      <c r="B203" s="380" t="s">
        <v>191</v>
      </c>
      <c r="C203" s="381" t="s">
        <v>1004</v>
      </c>
      <c r="D203" s="380">
        <v>55</v>
      </c>
      <c r="E203" s="382" t="s">
        <v>1005</v>
      </c>
      <c r="F203" s="383" t="s">
        <v>78</v>
      </c>
      <c r="G203" s="384">
        <v>21200</v>
      </c>
      <c r="H203" s="385" t="s">
        <v>2427</v>
      </c>
    </row>
    <row r="204" spans="1:8" ht="46.5">
      <c r="A204" s="379">
        <v>5130</v>
      </c>
      <c r="B204" s="380" t="s">
        <v>191</v>
      </c>
      <c r="C204" s="381" t="s">
        <v>1006</v>
      </c>
      <c r="D204" s="380">
        <v>57</v>
      </c>
      <c r="E204" s="382" t="s">
        <v>1007</v>
      </c>
      <c r="F204" s="383" t="s">
        <v>78</v>
      </c>
      <c r="G204" s="384">
        <v>17500</v>
      </c>
      <c r="H204" s="385" t="s">
        <v>2427</v>
      </c>
    </row>
    <row r="205" spans="1:8" ht="46.5">
      <c r="A205" s="379">
        <v>5130</v>
      </c>
      <c r="B205" s="380" t="s">
        <v>191</v>
      </c>
      <c r="C205" s="381" t="s">
        <v>1008</v>
      </c>
      <c r="D205" s="380">
        <v>55</v>
      </c>
      <c r="E205" s="382" t="s">
        <v>1009</v>
      </c>
      <c r="F205" s="383" t="s">
        <v>78</v>
      </c>
      <c r="G205" s="384">
        <v>4500</v>
      </c>
      <c r="H205" s="385" t="s">
        <v>2427</v>
      </c>
    </row>
    <row r="206" spans="1:8" s="389" customFormat="1" ht="46.5">
      <c r="A206" s="379">
        <v>5130</v>
      </c>
      <c r="B206" s="380" t="s">
        <v>256</v>
      </c>
      <c r="C206" s="381" t="s">
        <v>1010</v>
      </c>
      <c r="D206" s="380">
        <v>53</v>
      </c>
      <c r="E206" s="382" t="s">
        <v>1011</v>
      </c>
      <c r="F206" s="383" t="s">
        <v>78</v>
      </c>
      <c r="G206" s="384">
        <v>9000</v>
      </c>
      <c r="H206" s="385" t="s">
        <v>2427</v>
      </c>
    </row>
    <row r="207" spans="1:8" ht="46.5">
      <c r="A207" s="379">
        <v>5130</v>
      </c>
      <c r="B207" s="380" t="s">
        <v>191</v>
      </c>
      <c r="C207" s="381" t="s">
        <v>1012</v>
      </c>
      <c r="D207" s="380">
        <v>53</v>
      </c>
      <c r="E207" s="382" t="s">
        <v>1013</v>
      </c>
      <c r="F207" s="383" t="s">
        <v>78</v>
      </c>
      <c r="G207" s="384">
        <v>5600</v>
      </c>
      <c r="H207" s="385" t="s">
        <v>2427</v>
      </c>
    </row>
    <row r="208" spans="1:8" ht="46.5">
      <c r="A208" s="379">
        <v>5130</v>
      </c>
      <c r="B208" s="380" t="s">
        <v>191</v>
      </c>
      <c r="C208" s="381" t="s">
        <v>1014</v>
      </c>
      <c r="D208" s="380">
        <v>53</v>
      </c>
      <c r="E208" s="382" t="s">
        <v>1015</v>
      </c>
      <c r="F208" s="383" t="s">
        <v>78</v>
      </c>
      <c r="G208" s="384">
        <v>6900</v>
      </c>
      <c r="H208" s="385" t="s">
        <v>2427</v>
      </c>
    </row>
    <row r="209" spans="1:8" s="389" customFormat="1" ht="46.5">
      <c r="A209" s="379">
        <v>5130</v>
      </c>
      <c r="B209" s="380" t="s">
        <v>191</v>
      </c>
      <c r="C209" s="381" t="s">
        <v>1016</v>
      </c>
      <c r="D209" s="380">
        <v>55</v>
      </c>
      <c r="E209" s="382" t="s">
        <v>1017</v>
      </c>
      <c r="F209" s="383" t="s">
        <v>78</v>
      </c>
      <c r="G209" s="384">
        <v>6500</v>
      </c>
      <c r="H209" s="385" t="s">
        <v>2427</v>
      </c>
    </row>
    <row r="210" spans="1:8" ht="46.5">
      <c r="A210" s="379">
        <v>5130</v>
      </c>
      <c r="B210" s="380" t="s">
        <v>191</v>
      </c>
      <c r="C210" s="381" t="s">
        <v>1018</v>
      </c>
      <c r="D210" s="380">
        <v>55</v>
      </c>
      <c r="E210" s="382" t="s">
        <v>1019</v>
      </c>
      <c r="F210" s="383" t="s">
        <v>78</v>
      </c>
      <c r="G210" s="384">
        <v>10800</v>
      </c>
      <c r="H210" s="385" t="s">
        <v>2427</v>
      </c>
    </row>
    <row r="211" spans="1:8" ht="46.5">
      <c r="A211" s="379">
        <v>5130</v>
      </c>
      <c r="B211" s="380" t="s">
        <v>191</v>
      </c>
      <c r="C211" s="381" t="s">
        <v>1020</v>
      </c>
      <c r="D211" s="380">
        <v>53</v>
      </c>
      <c r="E211" s="382" t="s">
        <v>1021</v>
      </c>
      <c r="F211" s="383" t="s">
        <v>78</v>
      </c>
      <c r="G211" s="384">
        <v>11500</v>
      </c>
      <c r="H211" s="385" t="s">
        <v>2427</v>
      </c>
    </row>
    <row r="212" spans="1:8" ht="46.5">
      <c r="A212" s="379">
        <v>5130</v>
      </c>
      <c r="B212" s="380" t="s">
        <v>191</v>
      </c>
      <c r="C212" s="381" t="s">
        <v>1022</v>
      </c>
      <c r="D212" s="380">
        <v>52</v>
      </c>
      <c r="E212" s="382" t="s">
        <v>1023</v>
      </c>
      <c r="F212" s="383" t="s">
        <v>78</v>
      </c>
      <c r="G212" s="384">
        <v>12500</v>
      </c>
      <c r="H212" s="385" t="s">
        <v>2427</v>
      </c>
    </row>
    <row r="213" spans="1:8" s="389" customFormat="1" ht="46.5">
      <c r="A213" s="379">
        <v>5133</v>
      </c>
      <c r="B213" s="380" t="s">
        <v>157</v>
      </c>
      <c r="C213" s="381" t="s">
        <v>1024</v>
      </c>
      <c r="D213" s="380">
        <v>53</v>
      </c>
      <c r="E213" s="382" t="s">
        <v>1025</v>
      </c>
      <c r="F213" s="383" t="s">
        <v>53</v>
      </c>
      <c r="G213" s="384">
        <v>4500</v>
      </c>
      <c r="H213" s="385" t="s">
        <v>2428</v>
      </c>
    </row>
    <row r="214" spans="1:8" ht="46.5">
      <c r="A214" s="379">
        <v>5180</v>
      </c>
      <c r="B214" s="380" t="s">
        <v>157</v>
      </c>
      <c r="C214" s="381" t="s">
        <v>1026</v>
      </c>
      <c r="D214" s="380">
        <v>54</v>
      </c>
      <c r="E214" s="382" t="s">
        <v>1027</v>
      </c>
      <c r="F214" s="383" t="s">
        <v>53</v>
      </c>
      <c r="G214" s="384">
        <v>28000</v>
      </c>
      <c r="H214" s="385" t="s">
        <v>2431</v>
      </c>
    </row>
    <row r="215" spans="1:8" s="389" customFormat="1">
      <c r="A215" s="406"/>
      <c r="B215" s="400"/>
      <c r="C215" s="411" t="s">
        <v>4133</v>
      </c>
      <c r="D215" s="399"/>
      <c r="E215" s="406"/>
      <c r="F215" s="408"/>
      <c r="G215" s="408"/>
      <c r="H215" s="409"/>
    </row>
    <row r="216" spans="1:8">
      <c r="A216" s="379">
        <v>5345</v>
      </c>
      <c r="B216" s="380" t="s">
        <v>157</v>
      </c>
      <c r="C216" s="381" t="s">
        <v>1028</v>
      </c>
      <c r="D216" s="380">
        <v>52</v>
      </c>
      <c r="E216" s="382" t="s">
        <v>1029</v>
      </c>
      <c r="F216" s="383" t="s">
        <v>48</v>
      </c>
      <c r="G216" s="384">
        <v>6500</v>
      </c>
      <c r="H216" s="385" t="s">
        <v>2436</v>
      </c>
    </row>
    <row r="217" spans="1:8">
      <c r="A217" s="379">
        <v>5345</v>
      </c>
      <c r="B217" s="380" t="s">
        <v>157</v>
      </c>
      <c r="C217" s="381" t="s">
        <v>1030</v>
      </c>
      <c r="D217" s="380">
        <v>53</v>
      </c>
      <c r="E217" s="382" t="s">
        <v>1031</v>
      </c>
      <c r="F217" s="383" t="s">
        <v>48</v>
      </c>
      <c r="G217" s="384">
        <v>8500</v>
      </c>
      <c r="H217" s="385" t="s">
        <v>2436</v>
      </c>
    </row>
    <row r="218" spans="1:8">
      <c r="A218" s="406"/>
      <c r="B218" s="400"/>
      <c r="C218" s="411" t="s">
        <v>4134</v>
      </c>
      <c r="D218" s="399"/>
      <c r="E218" s="406"/>
      <c r="F218" s="408"/>
      <c r="G218" s="408"/>
      <c r="H218" s="409"/>
    </row>
    <row r="219" spans="1:8">
      <c r="A219" s="379">
        <v>5410</v>
      </c>
      <c r="B219" s="380" t="s">
        <v>191</v>
      </c>
      <c r="C219" s="381" t="s">
        <v>1032</v>
      </c>
      <c r="D219" s="380">
        <v>54</v>
      </c>
      <c r="E219" s="382" t="s">
        <v>1033</v>
      </c>
      <c r="F219" s="383" t="s">
        <v>358</v>
      </c>
      <c r="G219" s="384">
        <v>190000</v>
      </c>
      <c r="H219" s="385" t="s">
        <v>2439</v>
      </c>
    </row>
    <row r="220" spans="1:8" s="417" customFormat="1">
      <c r="A220" s="379">
        <v>5430</v>
      </c>
      <c r="B220" s="380" t="s">
        <v>256</v>
      </c>
      <c r="C220" s="381" t="s">
        <v>1036</v>
      </c>
      <c r="D220" s="380">
        <v>59</v>
      </c>
      <c r="E220" s="382" t="s">
        <v>1037</v>
      </c>
      <c r="F220" s="383" t="s">
        <v>433</v>
      </c>
      <c r="G220" s="384">
        <v>17000</v>
      </c>
      <c r="H220" s="385" t="s">
        <v>2442</v>
      </c>
    </row>
    <row r="221" spans="1:8">
      <c r="A221" s="406"/>
      <c r="B221" s="400"/>
      <c r="C221" s="411" t="s">
        <v>4135</v>
      </c>
      <c r="D221" s="399"/>
      <c r="E221" s="406"/>
      <c r="F221" s="408"/>
      <c r="G221" s="408"/>
      <c r="H221" s="409"/>
    </row>
    <row r="222" spans="1:8">
      <c r="A222" s="418">
        <v>5925</v>
      </c>
      <c r="B222" s="419" t="s">
        <v>37</v>
      </c>
      <c r="C222" s="420">
        <v>9525.0161290322576</v>
      </c>
      <c r="D222" s="373">
        <v>62</v>
      </c>
      <c r="E222" s="421" t="s">
        <v>4192</v>
      </c>
      <c r="F222" s="422" t="s">
        <v>1044</v>
      </c>
      <c r="G222" s="423">
        <v>21500</v>
      </c>
      <c r="H222" s="424">
        <v>5925</v>
      </c>
    </row>
    <row r="223" spans="1:8">
      <c r="A223" s="379">
        <v>5925</v>
      </c>
      <c r="B223" s="380" t="s">
        <v>37</v>
      </c>
      <c r="C223" s="381" t="s">
        <v>1042</v>
      </c>
      <c r="D223" s="380">
        <v>60</v>
      </c>
      <c r="E223" s="382" t="s">
        <v>1043</v>
      </c>
      <c r="F223" s="383" t="s">
        <v>1044</v>
      </c>
      <c r="G223" s="384">
        <v>29000</v>
      </c>
      <c r="H223" s="385" t="s">
        <v>2452</v>
      </c>
    </row>
    <row r="224" spans="1:8">
      <c r="A224" s="406"/>
      <c r="B224" s="400"/>
      <c r="C224" s="411" t="s">
        <v>4136</v>
      </c>
      <c r="D224" s="399"/>
      <c r="E224" s="406"/>
      <c r="F224" s="408"/>
      <c r="G224" s="408"/>
      <c r="H224" s="409"/>
    </row>
    <row r="225" spans="1:8" ht="69.75">
      <c r="A225" s="379">
        <v>6110</v>
      </c>
      <c r="B225" s="380" t="s">
        <v>37</v>
      </c>
      <c r="C225" s="381" t="s">
        <v>1051</v>
      </c>
      <c r="D225" s="380">
        <v>53</v>
      </c>
      <c r="E225" s="416" t="s">
        <v>1052</v>
      </c>
      <c r="F225" s="383" t="s">
        <v>78</v>
      </c>
      <c r="G225" s="384">
        <v>350000</v>
      </c>
      <c r="H225" s="385" t="s">
        <v>2459</v>
      </c>
    </row>
    <row r="226" spans="1:8" ht="69.75">
      <c r="A226" s="379">
        <v>6110</v>
      </c>
      <c r="B226" s="380" t="s">
        <v>37</v>
      </c>
      <c r="C226" s="381" t="s">
        <v>1053</v>
      </c>
      <c r="D226" s="380">
        <v>53</v>
      </c>
      <c r="E226" s="382" t="s">
        <v>1054</v>
      </c>
      <c r="F226" s="383" t="s">
        <v>78</v>
      </c>
      <c r="G226" s="384">
        <v>738000</v>
      </c>
      <c r="H226" s="385" t="s">
        <v>2459</v>
      </c>
    </row>
    <row r="227" spans="1:8" ht="69.75">
      <c r="A227" s="379">
        <v>6110</v>
      </c>
      <c r="B227" s="380" t="s">
        <v>37</v>
      </c>
      <c r="C227" s="381" t="s">
        <v>1055</v>
      </c>
      <c r="D227" s="380">
        <v>58</v>
      </c>
      <c r="E227" s="382" t="s">
        <v>1056</v>
      </c>
      <c r="F227" s="383" t="s">
        <v>78</v>
      </c>
      <c r="G227" s="384">
        <v>180000</v>
      </c>
      <c r="H227" s="385" t="s">
        <v>2459</v>
      </c>
    </row>
    <row r="228" spans="1:8" ht="69.75">
      <c r="A228" s="379">
        <v>6110</v>
      </c>
      <c r="B228" s="380" t="s">
        <v>37</v>
      </c>
      <c r="C228" s="381" t="s">
        <v>1057</v>
      </c>
      <c r="D228" s="380">
        <v>58</v>
      </c>
      <c r="E228" s="382" t="s">
        <v>1058</v>
      </c>
      <c r="F228" s="383" t="s">
        <v>78</v>
      </c>
      <c r="G228" s="384">
        <v>450000</v>
      </c>
      <c r="H228" s="385" t="s">
        <v>2459</v>
      </c>
    </row>
    <row r="229" spans="1:8" ht="69.75">
      <c r="A229" s="379">
        <v>6110</v>
      </c>
      <c r="B229" s="380" t="s">
        <v>37</v>
      </c>
      <c r="C229" s="381" t="s">
        <v>1059</v>
      </c>
      <c r="D229" s="380">
        <v>58</v>
      </c>
      <c r="E229" s="416" t="s">
        <v>1060</v>
      </c>
      <c r="F229" s="383" t="s">
        <v>78</v>
      </c>
      <c r="G229" s="384">
        <v>350000</v>
      </c>
      <c r="H229" s="385" t="s">
        <v>2459</v>
      </c>
    </row>
    <row r="230" spans="1:8" ht="69.75">
      <c r="A230" s="379">
        <v>6110</v>
      </c>
      <c r="B230" s="380" t="s">
        <v>37</v>
      </c>
      <c r="C230" s="381" t="s">
        <v>1061</v>
      </c>
      <c r="D230" s="380">
        <v>58</v>
      </c>
      <c r="E230" s="382" t="s">
        <v>1062</v>
      </c>
      <c r="F230" s="383" t="s">
        <v>78</v>
      </c>
      <c r="G230" s="384">
        <v>300000</v>
      </c>
      <c r="H230" s="385" t="s">
        <v>2459</v>
      </c>
    </row>
    <row r="231" spans="1:8" ht="69.75">
      <c r="A231" s="379">
        <v>6110</v>
      </c>
      <c r="B231" s="380" t="s">
        <v>37</v>
      </c>
      <c r="C231" s="381" t="s">
        <v>1063</v>
      </c>
      <c r="D231" s="380">
        <v>58</v>
      </c>
      <c r="E231" s="382" t="s">
        <v>1064</v>
      </c>
      <c r="F231" s="383" t="s">
        <v>78</v>
      </c>
      <c r="G231" s="384">
        <v>450000</v>
      </c>
      <c r="H231" s="385" t="s">
        <v>2459</v>
      </c>
    </row>
    <row r="232" spans="1:8" ht="46.5">
      <c r="A232" s="379">
        <v>6110</v>
      </c>
      <c r="B232" s="380" t="s">
        <v>37</v>
      </c>
      <c r="C232" s="381" t="s">
        <v>1065</v>
      </c>
      <c r="D232" s="380">
        <v>61</v>
      </c>
      <c r="E232" s="382" t="s">
        <v>1066</v>
      </c>
      <c r="F232" s="383" t="s">
        <v>78</v>
      </c>
      <c r="G232" s="384">
        <v>1500000</v>
      </c>
      <c r="H232" s="385" t="s">
        <v>2459</v>
      </c>
    </row>
    <row r="233" spans="1:8" ht="46.5">
      <c r="A233" s="379">
        <v>6110</v>
      </c>
      <c r="B233" s="380" t="s">
        <v>37</v>
      </c>
      <c r="C233" s="381" t="s">
        <v>1067</v>
      </c>
      <c r="D233" s="380">
        <v>59</v>
      </c>
      <c r="E233" s="382" t="s">
        <v>4193</v>
      </c>
      <c r="F233" s="383" t="s">
        <v>78</v>
      </c>
      <c r="G233" s="384">
        <v>800000</v>
      </c>
      <c r="H233" s="385">
        <v>6110</v>
      </c>
    </row>
    <row r="234" spans="1:8" ht="46.5">
      <c r="A234" s="379">
        <v>6110</v>
      </c>
      <c r="B234" s="380" t="s">
        <v>37</v>
      </c>
      <c r="C234" s="381" t="s">
        <v>1069</v>
      </c>
      <c r="D234" s="380">
        <v>60</v>
      </c>
      <c r="E234" s="382" t="s">
        <v>1070</v>
      </c>
      <c r="F234" s="383" t="s">
        <v>78</v>
      </c>
      <c r="G234" s="384">
        <v>1200000</v>
      </c>
      <c r="H234" s="385" t="s">
        <v>2459</v>
      </c>
    </row>
    <row r="235" spans="1:8" ht="46.5">
      <c r="A235" s="379">
        <v>6110</v>
      </c>
      <c r="B235" s="380" t="s">
        <v>37</v>
      </c>
      <c r="C235" s="381" t="s">
        <v>1071</v>
      </c>
      <c r="D235" s="380">
        <v>56</v>
      </c>
      <c r="E235" s="382" t="s">
        <v>1072</v>
      </c>
      <c r="F235" s="383" t="s">
        <v>78</v>
      </c>
      <c r="G235" s="384">
        <v>1500000</v>
      </c>
      <c r="H235" s="385" t="s">
        <v>2459</v>
      </c>
    </row>
    <row r="236" spans="1:8" ht="46.5">
      <c r="A236" s="379">
        <v>6110</v>
      </c>
      <c r="B236" s="380" t="s">
        <v>37</v>
      </c>
      <c r="C236" s="381" t="s">
        <v>1073</v>
      </c>
      <c r="D236" s="380">
        <v>55</v>
      </c>
      <c r="E236" s="382" t="s">
        <v>1074</v>
      </c>
      <c r="F236" s="383" t="s">
        <v>78</v>
      </c>
      <c r="G236" s="384">
        <v>1350000</v>
      </c>
      <c r="H236" s="385" t="s">
        <v>2459</v>
      </c>
    </row>
    <row r="237" spans="1:8" ht="46.5">
      <c r="A237" s="379">
        <v>6110</v>
      </c>
      <c r="B237" s="380" t="s">
        <v>37</v>
      </c>
      <c r="C237" s="381" t="s">
        <v>1075</v>
      </c>
      <c r="D237" s="380">
        <v>57</v>
      </c>
      <c r="E237" s="382" t="s">
        <v>1076</v>
      </c>
      <c r="F237" s="383" t="s">
        <v>78</v>
      </c>
      <c r="G237" s="384">
        <v>1050000</v>
      </c>
      <c r="H237" s="385" t="s">
        <v>2459</v>
      </c>
    </row>
    <row r="238" spans="1:8" ht="46.5">
      <c r="A238" s="379">
        <v>6115</v>
      </c>
      <c r="B238" s="380" t="s">
        <v>37</v>
      </c>
      <c r="C238" s="381" t="s">
        <v>1077</v>
      </c>
      <c r="D238" s="380">
        <v>58</v>
      </c>
      <c r="E238" s="382" t="s">
        <v>4244</v>
      </c>
      <c r="F238" s="383" t="s">
        <v>78</v>
      </c>
      <c r="G238" s="384">
        <v>260000</v>
      </c>
      <c r="H238" s="385" t="s">
        <v>2460</v>
      </c>
    </row>
    <row r="239" spans="1:8" ht="46.5">
      <c r="A239" s="379">
        <v>6115</v>
      </c>
      <c r="B239" s="380" t="s">
        <v>37</v>
      </c>
      <c r="C239" s="381" t="s">
        <v>1080</v>
      </c>
      <c r="D239" s="380">
        <v>60</v>
      </c>
      <c r="E239" s="382" t="s">
        <v>782</v>
      </c>
      <c r="F239" s="383" t="s">
        <v>78</v>
      </c>
      <c r="G239" s="384">
        <v>670000</v>
      </c>
      <c r="H239" s="385" t="s">
        <v>2460</v>
      </c>
    </row>
    <row r="240" spans="1:8" ht="46.5">
      <c r="A240" s="379">
        <v>6115</v>
      </c>
      <c r="B240" s="380" t="s">
        <v>37</v>
      </c>
      <c r="C240" s="381" t="s">
        <v>1083</v>
      </c>
      <c r="D240" s="380">
        <v>60</v>
      </c>
      <c r="E240" s="382" t="s">
        <v>1084</v>
      </c>
      <c r="F240" s="383" t="s">
        <v>78</v>
      </c>
      <c r="G240" s="384">
        <v>758000</v>
      </c>
      <c r="H240" s="385" t="s">
        <v>2460</v>
      </c>
    </row>
    <row r="241" spans="1:8" ht="46.5">
      <c r="A241" s="379">
        <v>6115</v>
      </c>
      <c r="B241" s="380" t="s">
        <v>37</v>
      </c>
      <c r="C241" s="381" t="s">
        <v>1088</v>
      </c>
      <c r="D241" s="380">
        <v>57</v>
      </c>
      <c r="E241" s="382" t="s">
        <v>1089</v>
      </c>
      <c r="F241" s="383" t="s">
        <v>78</v>
      </c>
      <c r="G241" s="384">
        <v>13000</v>
      </c>
      <c r="H241" s="385" t="s">
        <v>2460</v>
      </c>
    </row>
    <row r="242" spans="1:8" ht="46.5">
      <c r="A242" s="379">
        <v>6115</v>
      </c>
      <c r="B242" s="380" t="s">
        <v>37</v>
      </c>
      <c r="C242" s="381" t="s">
        <v>1085</v>
      </c>
      <c r="D242" s="380">
        <v>54</v>
      </c>
      <c r="E242" s="382" t="s">
        <v>1086</v>
      </c>
      <c r="F242" s="383" t="s">
        <v>78</v>
      </c>
      <c r="G242" s="384">
        <v>150000</v>
      </c>
      <c r="H242" s="385" t="s">
        <v>2460</v>
      </c>
    </row>
    <row r="243" spans="1:8" ht="46.5">
      <c r="A243" s="379">
        <v>6115</v>
      </c>
      <c r="B243" s="380" t="s">
        <v>37</v>
      </c>
      <c r="C243" s="381" t="s">
        <v>1090</v>
      </c>
      <c r="D243" s="380">
        <v>58</v>
      </c>
      <c r="E243" s="382" t="s">
        <v>1091</v>
      </c>
      <c r="F243" s="383" t="s">
        <v>78</v>
      </c>
      <c r="G243" s="384">
        <v>1400000</v>
      </c>
      <c r="H243" s="385" t="s">
        <v>2460</v>
      </c>
    </row>
    <row r="244" spans="1:8" ht="69.75">
      <c r="A244" s="379">
        <v>6115</v>
      </c>
      <c r="B244" s="380" t="s">
        <v>37</v>
      </c>
      <c r="C244" s="381" t="s">
        <v>1092</v>
      </c>
      <c r="D244" s="380">
        <v>58</v>
      </c>
      <c r="E244" s="382" t="s">
        <v>1093</v>
      </c>
      <c r="F244" s="383" t="s">
        <v>78</v>
      </c>
      <c r="G244" s="384" t="s">
        <v>1094</v>
      </c>
      <c r="H244" s="385" t="s">
        <v>2460</v>
      </c>
    </row>
    <row r="245" spans="1:8" ht="69.75">
      <c r="A245" s="379">
        <v>6115</v>
      </c>
      <c r="B245" s="380" t="s">
        <v>37</v>
      </c>
      <c r="C245" s="381" t="s">
        <v>1095</v>
      </c>
      <c r="D245" s="380">
        <v>58</v>
      </c>
      <c r="E245" s="382" t="s">
        <v>1096</v>
      </c>
      <c r="F245" s="383" t="s">
        <v>78</v>
      </c>
      <c r="G245" s="384">
        <v>1250000</v>
      </c>
      <c r="H245" s="385" t="s">
        <v>2460</v>
      </c>
    </row>
    <row r="246" spans="1:8" ht="46.5">
      <c r="A246" s="379">
        <v>6115</v>
      </c>
      <c r="B246" s="380" t="s">
        <v>37</v>
      </c>
      <c r="C246" s="381" t="s">
        <v>1099</v>
      </c>
      <c r="D246" s="380">
        <v>55</v>
      </c>
      <c r="E246" s="382" t="s">
        <v>1100</v>
      </c>
      <c r="F246" s="383" t="s">
        <v>78</v>
      </c>
      <c r="G246" s="384">
        <v>27500</v>
      </c>
      <c r="H246" s="385" t="s">
        <v>2460</v>
      </c>
    </row>
    <row r="247" spans="1:8" ht="46.5">
      <c r="A247" s="379">
        <v>6115</v>
      </c>
      <c r="B247" s="380" t="s">
        <v>37</v>
      </c>
      <c r="C247" s="381" t="s">
        <v>1107</v>
      </c>
      <c r="D247" s="380">
        <v>61</v>
      </c>
      <c r="E247" s="382" t="s">
        <v>787</v>
      </c>
      <c r="F247" s="383" t="s">
        <v>78</v>
      </c>
      <c r="G247" s="384">
        <v>57500</v>
      </c>
      <c r="H247" s="385" t="s">
        <v>2460</v>
      </c>
    </row>
    <row r="248" spans="1:8" ht="46.5">
      <c r="A248" s="379">
        <v>6115</v>
      </c>
      <c r="B248" s="380" t="s">
        <v>37</v>
      </c>
      <c r="C248" s="381" t="s">
        <v>1097</v>
      </c>
      <c r="D248" s="380">
        <v>54</v>
      </c>
      <c r="E248" s="382" t="s">
        <v>1098</v>
      </c>
      <c r="F248" s="383" t="s">
        <v>78</v>
      </c>
      <c r="G248" s="384">
        <v>385000</v>
      </c>
      <c r="H248" s="385" t="s">
        <v>2460</v>
      </c>
    </row>
    <row r="249" spans="1:8" ht="46.5">
      <c r="A249" s="379">
        <v>6115</v>
      </c>
      <c r="B249" s="380" t="s">
        <v>37</v>
      </c>
      <c r="C249" s="381" t="s">
        <v>1101</v>
      </c>
      <c r="D249" s="380">
        <v>53</v>
      </c>
      <c r="E249" s="382" t="s">
        <v>1102</v>
      </c>
      <c r="F249" s="383" t="s">
        <v>78</v>
      </c>
      <c r="G249" s="384">
        <v>2370000</v>
      </c>
      <c r="H249" s="385" t="s">
        <v>2460</v>
      </c>
    </row>
    <row r="250" spans="1:8" ht="46.5">
      <c r="A250" s="379">
        <v>6115</v>
      </c>
      <c r="B250" s="380" t="s">
        <v>37</v>
      </c>
      <c r="C250" s="381" t="s">
        <v>1103</v>
      </c>
      <c r="D250" s="380">
        <v>53</v>
      </c>
      <c r="E250" s="382" t="s">
        <v>1104</v>
      </c>
      <c r="F250" s="383" t="s">
        <v>78</v>
      </c>
      <c r="G250" s="384">
        <v>3350000</v>
      </c>
      <c r="H250" s="385" t="s">
        <v>2460</v>
      </c>
    </row>
    <row r="251" spans="1:8" ht="46.5">
      <c r="A251" s="379">
        <v>6115</v>
      </c>
      <c r="B251" s="380" t="s">
        <v>37</v>
      </c>
      <c r="C251" s="381" t="s">
        <v>1108</v>
      </c>
      <c r="D251" s="380">
        <v>59</v>
      </c>
      <c r="E251" s="382" t="s">
        <v>1109</v>
      </c>
      <c r="F251" s="383" t="s">
        <v>78</v>
      </c>
      <c r="G251" s="384">
        <v>8000000</v>
      </c>
      <c r="H251" s="385" t="s">
        <v>2460</v>
      </c>
    </row>
    <row r="252" spans="1:8" ht="46.5">
      <c r="A252" s="379">
        <v>6115</v>
      </c>
      <c r="B252" s="380" t="s">
        <v>37</v>
      </c>
      <c r="C252" s="381" t="s">
        <v>1115</v>
      </c>
      <c r="D252" s="380">
        <v>60</v>
      </c>
      <c r="E252" s="382" t="s">
        <v>1116</v>
      </c>
      <c r="F252" s="383" t="s">
        <v>78</v>
      </c>
      <c r="G252" s="384">
        <v>20000</v>
      </c>
      <c r="H252" s="385" t="s">
        <v>2460</v>
      </c>
    </row>
    <row r="253" spans="1:8" ht="46.5">
      <c r="A253" s="379">
        <v>6125</v>
      </c>
      <c r="B253" s="380" t="s">
        <v>372</v>
      </c>
      <c r="C253" s="381" t="s">
        <v>1120</v>
      </c>
      <c r="D253" s="380">
        <v>54</v>
      </c>
      <c r="E253" s="382" t="s">
        <v>1121</v>
      </c>
      <c r="F253" s="383" t="s">
        <v>78</v>
      </c>
      <c r="G253" s="384">
        <v>125000</v>
      </c>
      <c r="H253" s="385" t="s">
        <v>2462</v>
      </c>
    </row>
    <row r="254" spans="1:8" ht="46.5">
      <c r="A254" s="379">
        <v>6125</v>
      </c>
      <c r="B254" s="380" t="s">
        <v>372</v>
      </c>
      <c r="C254" s="381" t="s">
        <v>1125</v>
      </c>
      <c r="D254" s="380">
        <v>54</v>
      </c>
      <c r="E254" s="382" t="s">
        <v>1126</v>
      </c>
      <c r="F254" s="383" t="s">
        <v>78</v>
      </c>
      <c r="G254" s="384">
        <v>72000</v>
      </c>
      <c r="H254" s="385" t="s">
        <v>2462</v>
      </c>
    </row>
    <row r="255" spans="1:8" ht="46.5">
      <c r="A255" s="379">
        <v>6125</v>
      </c>
      <c r="B255" s="380" t="s">
        <v>37</v>
      </c>
      <c r="C255" s="381" t="s">
        <v>1127</v>
      </c>
      <c r="D255" s="380">
        <v>61</v>
      </c>
      <c r="E255" s="382" t="s">
        <v>1128</v>
      </c>
      <c r="F255" s="383" t="s">
        <v>78</v>
      </c>
      <c r="G255" s="384">
        <v>1150000</v>
      </c>
      <c r="H255" s="385" t="s">
        <v>2462</v>
      </c>
    </row>
    <row r="256" spans="1:8" ht="46.5">
      <c r="A256" s="379">
        <v>6125</v>
      </c>
      <c r="B256" s="380" t="s">
        <v>37</v>
      </c>
      <c r="C256" s="381" t="s">
        <v>1129</v>
      </c>
      <c r="D256" s="380">
        <v>61</v>
      </c>
      <c r="E256" s="382" t="s">
        <v>1130</v>
      </c>
      <c r="F256" s="383" t="s">
        <v>78</v>
      </c>
      <c r="G256" s="384">
        <v>850000</v>
      </c>
      <c r="H256" s="385" t="s">
        <v>2462</v>
      </c>
    </row>
    <row r="257" spans="1:8" ht="46.5">
      <c r="A257" s="379">
        <v>6125</v>
      </c>
      <c r="B257" s="380" t="s">
        <v>372</v>
      </c>
      <c r="C257" s="381" t="s">
        <v>1131</v>
      </c>
      <c r="D257" s="380">
        <v>53</v>
      </c>
      <c r="E257" s="382" t="s">
        <v>1132</v>
      </c>
      <c r="F257" s="383" t="s">
        <v>78</v>
      </c>
      <c r="G257" s="384">
        <v>250000</v>
      </c>
      <c r="H257" s="385" t="s">
        <v>2462</v>
      </c>
    </row>
    <row r="258" spans="1:8" ht="46.5">
      <c r="A258" s="379">
        <v>6125</v>
      </c>
      <c r="B258" s="380" t="s">
        <v>372</v>
      </c>
      <c r="C258" s="381" t="s">
        <v>1133</v>
      </c>
      <c r="D258" s="380">
        <v>53</v>
      </c>
      <c r="E258" s="382" t="s">
        <v>1134</v>
      </c>
      <c r="F258" s="383" t="s">
        <v>78</v>
      </c>
      <c r="G258" s="384">
        <v>80000</v>
      </c>
      <c r="H258" s="385" t="s">
        <v>2462</v>
      </c>
    </row>
    <row r="259" spans="1:8" ht="46.5">
      <c r="A259" s="379">
        <v>6125</v>
      </c>
      <c r="B259" s="380" t="s">
        <v>37</v>
      </c>
      <c r="C259" s="381" t="s">
        <v>1135</v>
      </c>
      <c r="D259" s="380">
        <v>55</v>
      </c>
      <c r="E259" s="382" t="s">
        <v>1136</v>
      </c>
      <c r="F259" s="383" t="s">
        <v>78</v>
      </c>
      <c r="G259" s="384">
        <v>1800000</v>
      </c>
      <c r="H259" s="385" t="s">
        <v>2462</v>
      </c>
    </row>
    <row r="260" spans="1:8" ht="46.5">
      <c r="A260" s="379">
        <v>6125</v>
      </c>
      <c r="B260" s="380" t="s">
        <v>37</v>
      </c>
      <c r="C260" s="381" t="s">
        <v>1137</v>
      </c>
      <c r="D260" s="380">
        <v>55</v>
      </c>
      <c r="E260" s="382" t="s">
        <v>1138</v>
      </c>
      <c r="F260" s="383" t="s">
        <v>78</v>
      </c>
      <c r="G260" s="384">
        <v>2500000</v>
      </c>
      <c r="H260" s="385" t="s">
        <v>2462</v>
      </c>
    </row>
    <row r="261" spans="1:8" ht="46.5">
      <c r="A261" s="379">
        <v>6130</v>
      </c>
      <c r="B261" s="380" t="s">
        <v>157</v>
      </c>
      <c r="C261" s="381" t="s">
        <v>1139</v>
      </c>
      <c r="D261" s="380">
        <v>56</v>
      </c>
      <c r="E261" s="382" t="s">
        <v>1140</v>
      </c>
      <c r="F261" s="383" t="s">
        <v>78</v>
      </c>
      <c r="G261" s="384">
        <v>9500</v>
      </c>
      <c r="H261" s="385" t="s">
        <v>2464</v>
      </c>
    </row>
    <row r="262" spans="1:8" ht="46.5">
      <c r="A262" s="379">
        <v>6130</v>
      </c>
      <c r="B262" s="380" t="s">
        <v>157</v>
      </c>
      <c r="C262" s="381" t="s">
        <v>1141</v>
      </c>
      <c r="D262" s="380">
        <v>54</v>
      </c>
      <c r="E262" s="382" t="s">
        <v>1142</v>
      </c>
      <c r="F262" s="383" t="s">
        <v>78</v>
      </c>
      <c r="G262" s="384">
        <v>12500</v>
      </c>
      <c r="H262" s="385" t="s">
        <v>2464</v>
      </c>
    </row>
    <row r="263" spans="1:8" ht="46.5">
      <c r="A263" s="379">
        <v>6130</v>
      </c>
      <c r="B263" s="380" t="s">
        <v>372</v>
      </c>
      <c r="C263" s="381" t="s">
        <v>1143</v>
      </c>
      <c r="D263" s="380">
        <v>56</v>
      </c>
      <c r="E263" s="382" t="s">
        <v>1144</v>
      </c>
      <c r="F263" s="383" t="s">
        <v>78</v>
      </c>
      <c r="G263" s="384">
        <v>27200</v>
      </c>
      <c r="H263" s="385" t="s">
        <v>2464</v>
      </c>
    </row>
    <row r="264" spans="1:8" ht="46.5">
      <c r="A264" s="379">
        <v>6130</v>
      </c>
      <c r="B264" s="380" t="s">
        <v>372</v>
      </c>
      <c r="C264" s="381" t="s">
        <v>1145</v>
      </c>
      <c r="D264" s="380">
        <v>56</v>
      </c>
      <c r="E264" s="382" t="s">
        <v>1146</v>
      </c>
      <c r="F264" s="383" t="s">
        <v>78</v>
      </c>
      <c r="G264" s="384">
        <v>13500</v>
      </c>
      <c r="H264" s="385" t="s">
        <v>2464</v>
      </c>
    </row>
    <row r="265" spans="1:8">
      <c r="A265" s="379">
        <v>6150</v>
      </c>
      <c r="B265" s="380" t="s">
        <v>37</v>
      </c>
      <c r="C265" s="381" t="s">
        <v>4194</v>
      </c>
      <c r="D265" s="380">
        <v>58</v>
      </c>
      <c r="E265" s="382" t="s">
        <v>1150</v>
      </c>
      <c r="F265" s="383" t="s">
        <v>53</v>
      </c>
      <c r="G265" s="384">
        <v>390000</v>
      </c>
      <c r="H265" s="385" t="s">
        <v>2465</v>
      </c>
    </row>
    <row r="266" spans="1:8" ht="46.5">
      <c r="A266" s="379">
        <v>6150</v>
      </c>
      <c r="B266" s="380" t="s">
        <v>37</v>
      </c>
      <c r="C266" s="381" t="s">
        <v>1151</v>
      </c>
      <c r="D266" s="380">
        <v>55</v>
      </c>
      <c r="E266" s="382" t="s">
        <v>1152</v>
      </c>
      <c r="F266" s="383" t="s">
        <v>78</v>
      </c>
      <c r="G266" s="384">
        <v>38000</v>
      </c>
      <c r="H266" s="385" t="s">
        <v>2465</v>
      </c>
    </row>
    <row r="267" spans="1:8">
      <c r="A267" s="406"/>
      <c r="B267" s="400"/>
      <c r="C267" s="411" t="s">
        <v>4137</v>
      </c>
      <c r="D267" s="399"/>
      <c r="E267" s="406"/>
      <c r="F267" s="410"/>
      <c r="G267" s="410"/>
      <c r="H267" s="403"/>
    </row>
    <row r="268" spans="1:8" ht="46.5">
      <c r="A268" s="379">
        <v>6210</v>
      </c>
      <c r="B268" s="380" t="s">
        <v>37</v>
      </c>
      <c r="C268" s="381" t="s">
        <v>1153</v>
      </c>
      <c r="D268" s="380">
        <v>58</v>
      </c>
      <c r="E268" s="382" t="s">
        <v>1154</v>
      </c>
      <c r="F268" s="383" t="s">
        <v>53</v>
      </c>
      <c r="G268" s="384">
        <v>25000</v>
      </c>
      <c r="H268" s="385" t="s">
        <v>2466</v>
      </c>
    </row>
    <row r="269" spans="1:8" ht="46.5">
      <c r="A269" s="379">
        <v>6210</v>
      </c>
      <c r="B269" s="380" t="s">
        <v>37</v>
      </c>
      <c r="C269" s="381" t="s">
        <v>1155</v>
      </c>
      <c r="D269" s="380">
        <v>58</v>
      </c>
      <c r="E269" s="382" t="s">
        <v>1156</v>
      </c>
      <c r="F269" s="383" t="s">
        <v>53</v>
      </c>
      <c r="G269" s="384">
        <v>25000</v>
      </c>
      <c r="H269" s="385" t="s">
        <v>2466</v>
      </c>
    </row>
    <row r="270" spans="1:8" ht="46.5">
      <c r="A270" s="379">
        <v>6210</v>
      </c>
      <c r="B270" s="380" t="s">
        <v>37</v>
      </c>
      <c r="C270" s="381" t="s">
        <v>4178</v>
      </c>
      <c r="D270" s="380">
        <v>62</v>
      </c>
      <c r="E270" s="382" t="s">
        <v>4176</v>
      </c>
      <c r="F270" s="383" t="s">
        <v>53</v>
      </c>
      <c r="G270" s="384">
        <v>450000</v>
      </c>
      <c r="H270" s="385" t="s">
        <v>2466</v>
      </c>
    </row>
    <row r="271" spans="1:8" ht="46.5">
      <c r="A271" s="379">
        <v>6210</v>
      </c>
      <c r="B271" s="380" t="s">
        <v>37</v>
      </c>
      <c r="C271" s="381" t="s">
        <v>4179</v>
      </c>
      <c r="D271" s="380">
        <v>62</v>
      </c>
      <c r="E271" s="382" t="s">
        <v>4177</v>
      </c>
      <c r="F271" s="383" t="s">
        <v>53</v>
      </c>
      <c r="G271" s="384">
        <v>1500000</v>
      </c>
      <c r="H271" s="385" t="s">
        <v>2466</v>
      </c>
    </row>
    <row r="272" spans="1:8" ht="46.5">
      <c r="A272" s="379">
        <v>6230</v>
      </c>
      <c r="B272" s="380" t="s">
        <v>37</v>
      </c>
      <c r="C272" s="381" t="s">
        <v>1162</v>
      </c>
      <c r="D272" s="380">
        <v>60</v>
      </c>
      <c r="E272" s="382" t="s">
        <v>1163</v>
      </c>
      <c r="F272" s="383" t="s">
        <v>78</v>
      </c>
      <c r="G272" s="384">
        <v>380000</v>
      </c>
      <c r="H272" s="385" t="s">
        <v>2467</v>
      </c>
    </row>
    <row r="273" spans="1:8" ht="46.5">
      <c r="A273" s="379">
        <v>6230</v>
      </c>
      <c r="B273" s="380" t="s">
        <v>37</v>
      </c>
      <c r="C273" s="381" t="s">
        <v>1164</v>
      </c>
      <c r="D273" s="380">
        <v>60</v>
      </c>
      <c r="E273" s="382" t="s">
        <v>1165</v>
      </c>
      <c r="F273" s="383" t="s">
        <v>78</v>
      </c>
      <c r="G273" s="384">
        <v>428000</v>
      </c>
      <c r="H273" s="385" t="s">
        <v>2467</v>
      </c>
    </row>
    <row r="274" spans="1:8">
      <c r="A274" s="406"/>
      <c r="B274" s="400"/>
      <c r="C274" s="411" t="s">
        <v>4138</v>
      </c>
      <c r="D274" s="399"/>
      <c r="E274" s="406"/>
      <c r="F274" s="410"/>
      <c r="G274" s="410"/>
      <c r="H274" s="403"/>
    </row>
    <row r="275" spans="1:8" ht="46.5">
      <c r="A275" s="379">
        <v>6625</v>
      </c>
      <c r="B275" s="380" t="s">
        <v>37</v>
      </c>
      <c r="C275" s="381" t="s">
        <v>1168</v>
      </c>
      <c r="D275" s="380">
        <v>57</v>
      </c>
      <c r="E275" s="382" t="s">
        <v>1169</v>
      </c>
      <c r="F275" s="383" t="s">
        <v>78</v>
      </c>
      <c r="G275" s="384">
        <v>300000</v>
      </c>
      <c r="H275" s="385" t="s">
        <v>2475</v>
      </c>
    </row>
    <row r="276" spans="1:8" ht="46.5">
      <c r="A276" s="379">
        <v>6630</v>
      </c>
      <c r="B276" s="380" t="s">
        <v>256</v>
      </c>
      <c r="C276" s="381" t="s">
        <v>1170</v>
      </c>
      <c r="D276" s="380">
        <v>54</v>
      </c>
      <c r="E276" s="382" t="s">
        <v>1171</v>
      </c>
      <c r="F276" s="383" t="s">
        <v>78</v>
      </c>
      <c r="G276" s="384">
        <v>20000</v>
      </c>
      <c r="H276" s="385" t="s">
        <v>2478</v>
      </c>
    </row>
    <row r="277" spans="1:8" ht="46.5">
      <c r="A277" s="379">
        <v>6630</v>
      </c>
      <c r="B277" s="380" t="s">
        <v>256</v>
      </c>
      <c r="C277" s="381" t="s">
        <v>4174</v>
      </c>
      <c r="D277" s="380">
        <v>62</v>
      </c>
      <c r="E277" s="382" t="s">
        <v>4175</v>
      </c>
      <c r="F277" s="383" t="s">
        <v>78</v>
      </c>
      <c r="G277" s="384">
        <v>5000</v>
      </c>
      <c r="H277" s="385" t="s">
        <v>2478</v>
      </c>
    </row>
    <row r="278" spans="1:8" ht="46.5">
      <c r="A278" s="379">
        <v>6630</v>
      </c>
      <c r="B278" s="380" t="s">
        <v>256</v>
      </c>
      <c r="C278" s="381" t="s">
        <v>1174</v>
      </c>
      <c r="D278" s="380">
        <v>54</v>
      </c>
      <c r="E278" s="382" t="s">
        <v>1175</v>
      </c>
      <c r="F278" s="383" t="s">
        <v>78</v>
      </c>
      <c r="G278" s="384">
        <v>35000</v>
      </c>
      <c r="H278" s="385" t="s">
        <v>2478</v>
      </c>
    </row>
    <row r="279" spans="1:8" ht="93">
      <c r="A279" s="379">
        <v>6635</v>
      </c>
      <c r="B279" s="380" t="s">
        <v>372</v>
      </c>
      <c r="C279" s="381" t="s">
        <v>1176</v>
      </c>
      <c r="D279" s="380">
        <v>60</v>
      </c>
      <c r="E279" s="382" t="s">
        <v>1177</v>
      </c>
      <c r="F279" s="383" t="s">
        <v>78</v>
      </c>
      <c r="G279" s="384">
        <v>130000</v>
      </c>
      <c r="H279" s="385" t="s">
        <v>2479</v>
      </c>
    </row>
    <row r="280" spans="1:8" ht="46.5">
      <c r="A280" s="379">
        <v>6635</v>
      </c>
      <c r="B280" s="380" t="s">
        <v>372</v>
      </c>
      <c r="C280" s="381" t="s">
        <v>1179</v>
      </c>
      <c r="D280" s="380">
        <v>60</v>
      </c>
      <c r="E280" s="382" t="s">
        <v>817</v>
      </c>
      <c r="F280" s="383" t="s">
        <v>78</v>
      </c>
      <c r="G280" s="384">
        <v>1350000</v>
      </c>
      <c r="H280" s="385" t="s">
        <v>2479</v>
      </c>
    </row>
    <row r="281" spans="1:8" ht="46.5">
      <c r="A281" s="379">
        <v>6635</v>
      </c>
      <c r="B281" s="380" t="s">
        <v>372</v>
      </c>
      <c r="C281" s="381" t="s">
        <v>1181</v>
      </c>
      <c r="D281" s="380">
        <v>61</v>
      </c>
      <c r="E281" s="382" t="s">
        <v>1182</v>
      </c>
      <c r="F281" s="383" t="s">
        <v>78</v>
      </c>
      <c r="G281" s="384">
        <v>990000</v>
      </c>
      <c r="H281" s="385" t="s">
        <v>2479</v>
      </c>
    </row>
    <row r="282" spans="1:8" ht="69.75">
      <c r="A282" s="379">
        <v>6635</v>
      </c>
      <c r="B282" s="380" t="s">
        <v>372</v>
      </c>
      <c r="C282" s="381" t="s">
        <v>1183</v>
      </c>
      <c r="D282" s="380">
        <v>61</v>
      </c>
      <c r="E282" s="382" t="s">
        <v>1184</v>
      </c>
      <c r="F282" s="383" t="s">
        <v>53</v>
      </c>
      <c r="G282" s="384">
        <v>825000</v>
      </c>
      <c r="H282" s="385" t="s">
        <v>2479</v>
      </c>
    </row>
    <row r="283" spans="1:8" ht="46.5">
      <c r="A283" s="379">
        <v>6635</v>
      </c>
      <c r="B283" s="380" t="s">
        <v>372</v>
      </c>
      <c r="C283" s="381" t="s">
        <v>1185</v>
      </c>
      <c r="D283" s="380">
        <v>60</v>
      </c>
      <c r="E283" s="382" t="s">
        <v>1186</v>
      </c>
      <c r="F283" s="383" t="s">
        <v>53</v>
      </c>
      <c r="G283" s="384">
        <v>160000</v>
      </c>
      <c r="H283" s="385" t="s">
        <v>2479</v>
      </c>
    </row>
    <row r="284" spans="1:8" ht="46.5">
      <c r="A284" s="379">
        <v>6635</v>
      </c>
      <c r="B284" s="380" t="s">
        <v>372</v>
      </c>
      <c r="C284" s="381" t="s">
        <v>1188</v>
      </c>
      <c r="D284" s="380">
        <v>60</v>
      </c>
      <c r="E284" s="382" t="s">
        <v>1189</v>
      </c>
      <c r="F284" s="383" t="s">
        <v>53</v>
      </c>
      <c r="G284" s="384">
        <v>1250000</v>
      </c>
      <c r="H284" s="385" t="s">
        <v>2479</v>
      </c>
    </row>
    <row r="285" spans="1:8" ht="69.75">
      <c r="A285" s="379">
        <v>6635</v>
      </c>
      <c r="B285" s="380" t="s">
        <v>372</v>
      </c>
      <c r="C285" s="381" t="s">
        <v>1191</v>
      </c>
      <c r="D285" s="380">
        <v>56</v>
      </c>
      <c r="E285" s="382" t="s">
        <v>1192</v>
      </c>
      <c r="F285" s="383" t="s">
        <v>53</v>
      </c>
      <c r="G285" s="384">
        <v>150000</v>
      </c>
      <c r="H285" s="385" t="s">
        <v>2479</v>
      </c>
    </row>
    <row r="286" spans="1:8" ht="69.75">
      <c r="A286" s="379">
        <v>6635</v>
      </c>
      <c r="B286" s="380" t="s">
        <v>372</v>
      </c>
      <c r="C286" s="381" t="s">
        <v>4173</v>
      </c>
      <c r="D286" s="380">
        <v>62</v>
      </c>
      <c r="E286" s="405" t="s">
        <v>4159</v>
      </c>
      <c r="F286" s="383" t="s">
        <v>53</v>
      </c>
      <c r="G286" s="384">
        <v>980000</v>
      </c>
      <c r="H286" s="404"/>
    </row>
    <row r="287" spans="1:8">
      <c r="A287" s="379">
        <v>6635</v>
      </c>
      <c r="B287" s="380" t="s">
        <v>372</v>
      </c>
      <c r="C287" s="381" t="s">
        <v>1206</v>
      </c>
      <c r="D287" s="380">
        <v>60</v>
      </c>
      <c r="E287" s="382" t="s">
        <v>1207</v>
      </c>
      <c r="F287" s="383" t="s">
        <v>53</v>
      </c>
      <c r="G287" s="384">
        <v>802500</v>
      </c>
      <c r="H287" s="385" t="s">
        <v>2479</v>
      </c>
    </row>
    <row r="288" spans="1:8" ht="46.5">
      <c r="A288" s="379">
        <v>6635</v>
      </c>
      <c r="B288" s="380" t="s">
        <v>372</v>
      </c>
      <c r="C288" s="381" t="s">
        <v>1209</v>
      </c>
      <c r="D288" s="380">
        <v>60</v>
      </c>
      <c r="E288" s="382" t="s">
        <v>4115</v>
      </c>
      <c r="F288" s="383" t="s">
        <v>53</v>
      </c>
      <c r="G288" s="384">
        <v>100000</v>
      </c>
      <c r="H288" s="385" t="s">
        <v>2479</v>
      </c>
    </row>
    <row r="289" spans="1:8" ht="93">
      <c r="A289" s="379">
        <v>6635</v>
      </c>
      <c r="B289" s="380" t="s">
        <v>372</v>
      </c>
      <c r="C289" s="381" t="s">
        <v>1212</v>
      </c>
      <c r="D289" s="380">
        <v>61</v>
      </c>
      <c r="E289" s="382" t="s">
        <v>824</v>
      </c>
      <c r="F289" s="383" t="s">
        <v>53</v>
      </c>
      <c r="G289" s="384">
        <v>1500000</v>
      </c>
      <c r="H289" s="385" t="s">
        <v>2479</v>
      </c>
    </row>
    <row r="290" spans="1:8" ht="46.5">
      <c r="A290" s="379">
        <v>6635</v>
      </c>
      <c r="B290" s="380" t="s">
        <v>372</v>
      </c>
      <c r="C290" s="381" t="s">
        <v>1214</v>
      </c>
      <c r="D290" s="380">
        <v>60</v>
      </c>
      <c r="E290" s="382" t="s">
        <v>1215</v>
      </c>
      <c r="F290" s="383" t="s">
        <v>78</v>
      </c>
      <c r="G290" s="384">
        <v>150000</v>
      </c>
      <c r="H290" s="385" t="s">
        <v>2479</v>
      </c>
    </row>
    <row r="291" spans="1:8" ht="46.5">
      <c r="A291" s="379">
        <v>6675</v>
      </c>
      <c r="B291" s="380" t="s">
        <v>372</v>
      </c>
      <c r="C291" s="381" t="s">
        <v>1217</v>
      </c>
      <c r="D291" s="380">
        <v>58</v>
      </c>
      <c r="E291" s="382" t="s">
        <v>1218</v>
      </c>
      <c r="F291" s="383" t="s">
        <v>78</v>
      </c>
      <c r="G291" s="384">
        <v>56000</v>
      </c>
      <c r="H291" s="385" t="s">
        <v>2482</v>
      </c>
    </row>
    <row r="292" spans="1:8" ht="93">
      <c r="A292" s="379">
        <v>6675</v>
      </c>
      <c r="B292" s="380" t="s">
        <v>372</v>
      </c>
      <c r="C292" s="381" t="s">
        <v>1220</v>
      </c>
      <c r="D292" s="380">
        <v>59</v>
      </c>
      <c r="E292" s="382" t="s">
        <v>1221</v>
      </c>
      <c r="F292" s="383" t="s">
        <v>78</v>
      </c>
      <c r="G292" s="384">
        <v>23000</v>
      </c>
      <c r="H292" s="385" t="s">
        <v>2482</v>
      </c>
    </row>
    <row r="293" spans="1:8" ht="93">
      <c r="A293" s="379">
        <v>6675</v>
      </c>
      <c r="B293" s="380" t="s">
        <v>372</v>
      </c>
      <c r="C293" s="381" t="s">
        <v>1223</v>
      </c>
      <c r="D293" s="380">
        <v>59</v>
      </c>
      <c r="E293" s="382" t="s">
        <v>1224</v>
      </c>
      <c r="F293" s="383" t="s">
        <v>78</v>
      </c>
      <c r="G293" s="384">
        <v>900000</v>
      </c>
      <c r="H293" s="385" t="s">
        <v>2482</v>
      </c>
    </row>
    <row r="294" spans="1:8" ht="46.5">
      <c r="A294" s="379">
        <v>6675</v>
      </c>
      <c r="B294" s="380" t="s">
        <v>191</v>
      </c>
      <c r="C294" s="381" t="s">
        <v>1226</v>
      </c>
      <c r="D294" s="380">
        <v>60</v>
      </c>
      <c r="E294" s="382" t="s">
        <v>1227</v>
      </c>
      <c r="F294" s="383" t="s">
        <v>78</v>
      </c>
      <c r="G294" s="384">
        <v>755000</v>
      </c>
      <c r="H294" s="385" t="s">
        <v>2482</v>
      </c>
    </row>
    <row r="295" spans="1:8" ht="46.5">
      <c r="A295" s="379">
        <v>6675</v>
      </c>
      <c r="B295" s="380" t="s">
        <v>372</v>
      </c>
      <c r="C295" s="381" t="s">
        <v>1230</v>
      </c>
      <c r="D295" s="380">
        <v>58</v>
      </c>
      <c r="E295" s="382" t="s">
        <v>1231</v>
      </c>
      <c r="F295" s="383" t="s">
        <v>53</v>
      </c>
      <c r="G295" s="384">
        <v>850000</v>
      </c>
      <c r="H295" s="385" t="s">
        <v>2482</v>
      </c>
    </row>
    <row r="296" spans="1:8" ht="69.75">
      <c r="A296" s="379">
        <v>6675</v>
      </c>
      <c r="B296" s="380" t="s">
        <v>372</v>
      </c>
      <c r="C296" s="381" t="s">
        <v>1236</v>
      </c>
      <c r="D296" s="380">
        <v>60</v>
      </c>
      <c r="E296" s="382" t="s">
        <v>1237</v>
      </c>
      <c r="F296" s="383" t="s">
        <v>53</v>
      </c>
      <c r="G296" s="384">
        <v>650000</v>
      </c>
      <c r="H296" s="385" t="s">
        <v>2482</v>
      </c>
    </row>
    <row r="297" spans="1:8" ht="46.5">
      <c r="A297" s="379">
        <v>6675</v>
      </c>
      <c r="B297" s="380" t="s">
        <v>372</v>
      </c>
      <c r="C297" s="381" t="s">
        <v>1238</v>
      </c>
      <c r="D297" s="380">
        <v>61</v>
      </c>
      <c r="E297" s="382" t="s">
        <v>1239</v>
      </c>
      <c r="F297" s="383" t="s">
        <v>78</v>
      </c>
      <c r="G297" s="384">
        <v>30000</v>
      </c>
      <c r="H297" s="385" t="s">
        <v>2482</v>
      </c>
    </row>
    <row r="298" spans="1:8">
      <c r="A298" s="379">
        <v>6675</v>
      </c>
      <c r="B298" s="380" t="s">
        <v>372</v>
      </c>
      <c r="C298" s="381" t="s">
        <v>1242</v>
      </c>
      <c r="D298" s="380">
        <v>61</v>
      </c>
      <c r="E298" s="382" t="s">
        <v>1243</v>
      </c>
      <c r="F298" s="383" t="s">
        <v>53</v>
      </c>
      <c r="G298" s="384">
        <v>250000</v>
      </c>
      <c r="H298" s="385" t="s">
        <v>2482</v>
      </c>
    </row>
    <row r="299" spans="1:8" ht="46.5">
      <c r="A299" s="379">
        <v>6675</v>
      </c>
      <c r="B299" s="380" t="s">
        <v>372</v>
      </c>
      <c r="C299" s="381" t="s">
        <v>1245</v>
      </c>
      <c r="D299" s="380">
        <v>62</v>
      </c>
      <c r="E299" s="382" t="s">
        <v>1246</v>
      </c>
      <c r="F299" s="383" t="s">
        <v>53</v>
      </c>
      <c r="G299" s="384">
        <v>400000</v>
      </c>
      <c r="H299" s="385" t="s">
        <v>2482</v>
      </c>
    </row>
    <row r="300" spans="1:8" ht="46.5">
      <c r="A300" s="379">
        <v>6680</v>
      </c>
      <c r="B300" s="380" t="s">
        <v>256</v>
      </c>
      <c r="C300" s="381" t="s">
        <v>1249</v>
      </c>
      <c r="D300" s="380">
        <v>54</v>
      </c>
      <c r="E300" s="382" t="s">
        <v>4162</v>
      </c>
      <c r="F300" s="383" t="s">
        <v>78</v>
      </c>
      <c r="G300" s="384">
        <v>47000</v>
      </c>
      <c r="H300" s="385" t="s">
        <v>2485</v>
      </c>
    </row>
    <row r="301" spans="1:8" ht="46.5">
      <c r="A301" s="379">
        <v>6680</v>
      </c>
      <c r="B301" s="380" t="s">
        <v>157</v>
      </c>
      <c r="C301" s="381" t="s">
        <v>1251</v>
      </c>
      <c r="D301" s="380">
        <v>55</v>
      </c>
      <c r="E301" s="382" t="s">
        <v>1252</v>
      </c>
      <c r="F301" s="383" t="s">
        <v>53</v>
      </c>
      <c r="G301" s="384">
        <v>4500</v>
      </c>
      <c r="H301" s="385" t="s">
        <v>2485</v>
      </c>
    </row>
    <row r="302" spans="1:8" ht="46.5">
      <c r="A302" s="379">
        <v>6685</v>
      </c>
      <c r="B302" s="380" t="s">
        <v>37</v>
      </c>
      <c r="C302" s="381" t="s">
        <v>1253</v>
      </c>
      <c r="D302" s="380">
        <v>58</v>
      </c>
      <c r="E302" s="382" t="s">
        <v>1254</v>
      </c>
      <c r="F302" s="383" t="s">
        <v>78</v>
      </c>
      <c r="G302" s="384">
        <v>225000</v>
      </c>
      <c r="H302" s="385" t="s">
        <v>2487</v>
      </c>
    </row>
    <row r="303" spans="1:8" ht="46.5">
      <c r="A303" s="379">
        <v>6695</v>
      </c>
      <c r="B303" s="380" t="s">
        <v>157</v>
      </c>
      <c r="C303" s="381" t="s">
        <v>1255</v>
      </c>
      <c r="D303" s="380">
        <v>52</v>
      </c>
      <c r="E303" s="382" t="s">
        <v>1256</v>
      </c>
      <c r="F303" s="383" t="s">
        <v>78</v>
      </c>
      <c r="G303" s="384">
        <v>9500</v>
      </c>
      <c r="H303" s="385" t="s">
        <v>2489</v>
      </c>
    </row>
    <row r="304" spans="1:8">
      <c r="A304" s="406"/>
      <c r="B304" s="400"/>
      <c r="C304" s="411" t="s">
        <v>4139</v>
      </c>
      <c r="D304" s="399"/>
      <c r="E304" s="406"/>
      <c r="F304" s="410"/>
      <c r="G304" s="410"/>
      <c r="H304" s="403"/>
    </row>
    <row r="305" spans="1:8">
      <c r="A305" s="379">
        <v>6810</v>
      </c>
      <c r="B305" s="380" t="s">
        <v>683</v>
      </c>
      <c r="C305" s="381" t="s">
        <v>1257</v>
      </c>
      <c r="D305" s="380">
        <v>53</v>
      </c>
      <c r="E305" s="382" t="s">
        <v>1258</v>
      </c>
      <c r="F305" s="383" t="s">
        <v>1259</v>
      </c>
      <c r="G305" s="384">
        <v>6500</v>
      </c>
      <c r="H305" s="385" t="s">
        <v>2491</v>
      </c>
    </row>
    <row r="306" spans="1:8" ht="93">
      <c r="A306" s="379">
        <v>6840</v>
      </c>
      <c r="B306" s="380" t="s">
        <v>191</v>
      </c>
      <c r="C306" s="381" t="s">
        <v>852</v>
      </c>
      <c r="D306" s="380">
        <v>54</v>
      </c>
      <c r="E306" s="382" t="s">
        <v>1260</v>
      </c>
      <c r="F306" s="383" t="s">
        <v>1261</v>
      </c>
      <c r="G306" s="384">
        <v>380</v>
      </c>
      <c r="H306" s="385" t="s">
        <v>2492</v>
      </c>
    </row>
    <row r="307" spans="1:8" ht="69.75">
      <c r="A307" s="379">
        <v>6840</v>
      </c>
      <c r="B307" s="380" t="s">
        <v>191</v>
      </c>
      <c r="C307" s="381" t="s">
        <v>1262</v>
      </c>
      <c r="D307" s="380">
        <v>58</v>
      </c>
      <c r="E307" s="382" t="s">
        <v>856</v>
      </c>
      <c r="F307" s="383" t="s">
        <v>1263</v>
      </c>
      <c r="G307" s="384">
        <v>750</v>
      </c>
      <c r="H307" s="385" t="s">
        <v>2492</v>
      </c>
    </row>
    <row r="308" spans="1:8" ht="93">
      <c r="A308" s="379">
        <v>6840</v>
      </c>
      <c r="B308" s="380" t="s">
        <v>191</v>
      </c>
      <c r="C308" s="381" t="s">
        <v>1264</v>
      </c>
      <c r="D308" s="380">
        <v>58</v>
      </c>
      <c r="E308" s="382" t="s">
        <v>1265</v>
      </c>
      <c r="F308" s="383" t="s">
        <v>1266</v>
      </c>
      <c r="G308" s="384">
        <v>1000</v>
      </c>
      <c r="H308" s="385" t="s">
        <v>2492</v>
      </c>
    </row>
    <row r="309" spans="1:8">
      <c r="A309" s="406"/>
      <c r="B309" s="400"/>
      <c r="C309" s="411" t="s">
        <v>4140</v>
      </c>
      <c r="D309" s="399"/>
      <c r="E309" s="406"/>
      <c r="F309" s="410"/>
      <c r="G309" s="410"/>
      <c r="H309" s="403"/>
    </row>
    <row r="310" spans="1:8">
      <c r="A310" s="379">
        <v>8415</v>
      </c>
      <c r="B310" s="380" t="s">
        <v>683</v>
      </c>
      <c r="C310" s="381" t="s">
        <v>1267</v>
      </c>
      <c r="D310" s="380">
        <v>61</v>
      </c>
      <c r="E310" s="382" t="s">
        <v>741</v>
      </c>
      <c r="F310" s="383" t="s">
        <v>53</v>
      </c>
      <c r="G310" s="384">
        <v>140000</v>
      </c>
      <c r="H310" s="385" t="s">
        <v>2508</v>
      </c>
    </row>
    <row r="311" spans="1:8">
      <c r="A311" s="379">
        <v>8415</v>
      </c>
      <c r="B311" s="380" t="s">
        <v>683</v>
      </c>
      <c r="C311" s="381" t="s">
        <v>1268</v>
      </c>
      <c r="D311" s="380">
        <v>61</v>
      </c>
      <c r="E311" s="382" t="s">
        <v>745</v>
      </c>
      <c r="F311" s="383" t="s">
        <v>53</v>
      </c>
      <c r="G311" s="384">
        <v>120000</v>
      </c>
      <c r="H311" s="385" t="s">
        <v>2508</v>
      </c>
    </row>
    <row r="312" spans="1:8">
      <c r="A312" s="379">
        <v>8415</v>
      </c>
      <c r="B312" s="380" t="s">
        <v>683</v>
      </c>
      <c r="C312" s="381" t="s">
        <v>1269</v>
      </c>
      <c r="D312" s="380">
        <v>52</v>
      </c>
      <c r="E312" s="382" t="s">
        <v>1270</v>
      </c>
      <c r="F312" s="383" t="s">
        <v>53</v>
      </c>
      <c r="G312" s="384">
        <v>33000</v>
      </c>
      <c r="H312" s="385" t="s">
        <v>2508</v>
      </c>
    </row>
    <row r="313" spans="1:8">
      <c r="A313" s="406"/>
      <c r="B313" s="400"/>
      <c r="C313" s="411" t="s">
        <v>4141</v>
      </c>
      <c r="D313" s="399"/>
      <c r="E313" s="406"/>
      <c r="F313" s="410"/>
      <c r="G313" s="410"/>
      <c r="H313" s="403"/>
    </row>
    <row r="314" spans="1:8">
      <c r="A314" s="379">
        <v>9999</v>
      </c>
      <c r="B314" s="380" t="s">
        <v>191</v>
      </c>
      <c r="C314" s="381" t="s">
        <v>1274</v>
      </c>
      <c r="D314" s="380">
        <v>54</v>
      </c>
      <c r="E314" s="382" t="s">
        <v>1275</v>
      </c>
      <c r="F314" s="383" t="s">
        <v>358</v>
      </c>
      <c r="G314" s="384">
        <v>45000</v>
      </c>
      <c r="H314" s="385" t="s">
        <v>1483</v>
      </c>
    </row>
    <row r="315" spans="1:8">
      <c r="A315" s="406"/>
      <c r="B315" s="400"/>
      <c r="C315" s="411" t="s">
        <v>4143</v>
      </c>
      <c r="D315" s="399"/>
      <c r="E315" s="406"/>
      <c r="F315" s="412"/>
      <c r="G315" s="413"/>
      <c r="H315" s="414"/>
    </row>
    <row r="316" spans="1:8">
      <c r="A316" s="455"/>
      <c r="B316" s="456" t="s">
        <v>25</v>
      </c>
      <c r="C316" s="457" t="s">
        <v>26</v>
      </c>
      <c r="D316" s="458"/>
      <c r="E316" s="459" t="s">
        <v>993</v>
      </c>
      <c r="F316" s="460" t="s">
        <v>48</v>
      </c>
      <c r="G316" s="461">
        <v>14800</v>
      </c>
      <c r="H316" s="470"/>
    </row>
    <row r="317" spans="1:8" ht="46.5">
      <c r="A317" s="455"/>
      <c r="B317" s="456" t="s">
        <v>25</v>
      </c>
      <c r="C317" s="457" t="s">
        <v>26</v>
      </c>
      <c r="D317" s="458"/>
      <c r="E317" s="459" t="s">
        <v>782</v>
      </c>
      <c r="F317" s="460" t="s">
        <v>78</v>
      </c>
      <c r="G317" s="461">
        <v>670000</v>
      </c>
      <c r="H317" s="470"/>
    </row>
    <row r="318" spans="1:8" ht="46.5">
      <c r="A318" s="455"/>
      <c r="B318" s="456" t="s">
        <v>25</v>
      </c>
      <c r="C318" s="457" t="s">
        <v>26</v>
      </c>
      <c r="D318" s="458"/>
      <c r="E318" s="459" t="s">
        <v>1086</v>
      </c>
      <c r="F318" s="460" t="s">
        <v>78</v>
      </c>
      <c r="G318" s="461">
        <v>150000</v>
      </c>
      <c r="H318" s="470"/>
    </row>
    <row r="319" spans="1:8" ht="46.5">
      <c r="A319" s="455"/>
      <c r="B319" s="456" t="s">
        <v>25</v>
      </c>
      <c r="C319" s="457" t="s">
        <v>26</v>
      </c>
      <c r="D319" s="458"/>
      <c r="E319" s="459" t="s">
        <v>1288</v>
      </c>
      <c r="F319" s="460" t="s">
        <v>78</v>
      </c>
      <c r="G319" s="461">
        <v>246000</v>
      </c>
      <c r="H319" s="470"/>
    </row>
    <row r="320" spans="1:8" ht="46.5">
      <c r="A320" s="455"/>
      <c r="B320" s="456" t="s">
        <v>25</v>
      </c>
      <c r="C320" s="457" t="s">
        <v>26</v>
      </c>
      <c r="D320" s="458"/>
      <c r="E320" s="459" t="s">
        <v>1290</v>
      </c>
      <c r="F320" s="460" t="s">
        <v>78</v>
      </c>
      <c r="G320" s="461">
        <v>1247000</v>
      </c>
      <c r="H320" s="470"/>
    </row>
    <row r="321" spans="1:8" ht="46.5">
      <c r="A321" s="455"/>
      <c r="B321" s="456" t="s">
        <v>25</v>
      </c>
      <c r="C321" s="457" t="s">
        <v>26</v>
      </c>
      <c r="D321" s="458"/>
      <c r="E321" s="459" t="s">
        <v>1098</v>
      </c>
      <c r="F321" s="460" t="s">
        <v>78</v>
      </c>
      <c r="G321" s="461">
        <v>385000</v>
      </c>
      <c r="H321" s="470"/>
    </row>
    <row r="322" spans="1:8" ht="46.5">
      <c r="A322" s="455"/>
      <c r="B322" s="456" t="s">
        <v>25</v>
      </c>
      <c r="C322" s="457" t="s">
        <v>26</v>
      </c>
      <c r="D322" s="458"/>
      <c r="E322" s="459" t="s">
        <v>1295</v>
      </c>
      <c r="F322" s="460" t="s">
        <v>78</v>
      </c>
      <c r="G322" s="461">
        <v>1700000</v>
      </c>
      <c r="H322" s="470"/>
    </row>
    <row r="323" spans="1:8" ht="46.5">
      <c r="A323" s="455"/>
      <c r="B323" s="456" t="s">
        <v>25</v>
      </c>
      <c r="C323" s="457" t="s">
        <v>26</v>
      </c>
      <c r="D323" s="458"/>
      <c r="E323" s="459" t="s">
        <v>1100</v>
      </c>
      <c r="F323" s="460" t="s">
        <v>78</v>
      </c>
      <c r="G323" s="461">
        <v>23300</v>
      </c>
      <c r="H323" s="470"/>
    </row>
    <row r="324" spans="1:8" ht="46.5">
      <c r="A324" s="455"/>
      <c r="B324" s="456" t="s">
        <v>25</v>
      </c>
      <c r="C324" s="457" t="s">
        <v>26</v>
      </c>
      <c r="D324" s="458"/>
      <c r="E324" s="459" t="s">
        <v>1102</v>
      </c>
      <c r="F324" s="460" t="s">
        <v>78</v>
      </c>
      <c r="G324" s="461">
        <v>2364000</v>
      </c>
      <c r="H324" s="470"/>
    </row>
    <row r="325" spans="1:8" ht="46.5">
      <c r="A325" s="455"/>
      <c r="B325" s="456" t="s">
        <v>25</v>
      </c>
      <c r="C325" s="457" t="s">
        <v>26</v>
      </c>
      <c r="D325" s="458"/>
      <c r="E325" s="459" t="s">
        <v>1104</v>
      </c>
      <c r="F325" s="460" t="s">
        <v>78</v>
      </c>
      <c r="G325" s="461">
        <v>3350000</v>
      </c>
      <c r="H325" s="470"/>
    </row>
    <row r="326" spans="1:8" ht="46.5">
      <c r="A326" s="455"/>
      <c r="B326" s="456" t="s">
        <v>25</v>
      </c>
      <c r="C326" s="457" t="s">
        <v>26</v>
      </c>
      <c r="D326" s="458"/>
      <c r="E326" s="459" t="s">
        <v>1299</v>
      </c>
      <c r="F326" s="460" t="s">
        <v>78</v>
      </c>
      <c r="G326" s="461">
        <v>500000</v>
      </c>
      <c r="H326" s="470"/>
    </row>
    <row r="327" spans="1:8" ht="46.5">
      <c r="A327" s="455"/>
      <c r="B327" s="456" t="s">
        <v>25</v>
      </c>
      <c r="C327" s="457" t="s">
        <v>26</v>
      </c>
      <c r="D327" s="458"/>
      <c r="E327" s="459" t="s">
        <v>787</v>
      </c>
      <c r="F327" s="460" t="s">
        <v>78</v>
      </c>
      <c r="G327" s="461">
        <v>57500</v>
      </c>
      <c r="H327" s="470"/>
    </row>
    <row r="328" spans="1:8" ht="46.5">
      <c r="A328" s="455"/>
      <c r="B328" s="456" t="s">
        <v>25</v>
      </c>
      <c r="C328" s="457" t="s">
        <v>26</v>
      </c>
      <c r="D328" s="458"/>
      <c r="E328" s="459" t="s">
        <v>1302</v>
      </c>
      <c r="F328" s="460" t="s">
        <v>78</v>
      </c>
      <c r="G328" s="461">
        <v>8300</v>
      </c>
      <c r="H328" s="470"/>
    </row>
    <row r="329" spans="1:8" ht="46.5">
      <c r="A329" s="455"/>
      <c r="B329" s="456" t="s">
        <v>25</v>
      </c>
      <c r="C329" s="457" t="s">
        <v>26</v>
      </c>
      <c r="D329" s="458"/>
      <c r="E329" s="459" t="s">
        <v>1304</v>
      </c>
      <c r="F329" s="460" t="s">
        <v>78</v>
      </c>
      <c r="G329" s="461">
        <v>9300</v>
      </c>
      <c r="H329" s="470"/>
    </row>
    <row r="330" spans="1:8" ht="46.5">
      <c r="A330" s="455"/>
      <c r="B330" s="456" t="s">
        <v>25</v>
      </c>
      <c r="C330" s="457" t="s">
        <v>26</v>
      </c>
      <c r="D330" s="458"/>
      <c r="E330" s="459" t="s">
        <v>1306</v>
      </c>
      <c r="F330" s="460" t="s">
        <v>78</v>
      </c>
      <c r="G330" s="461">
        <v>7600</v>
      </c>
      <c r="H330" s="470"/>
    </row>
    <row r="331" spans="1:8" ht="46.5">
      <c r="A331" s="455"/>
      <c r="B331" s="456" t="s">
        <v>25</v>
      </c>
      <c r="C331" s="457" t="s">
        <v>26</v>
      </c>
      <c r="D331" s="458"/>
      <c r="E331" s="459" t="s">
        <v>1308</v>
      </c>
      <c r="F331" s="460" t="s">
        <v>78</v>
      </c>
      <c r="G331" s="461">
        <v>20000</v>
      </c>
      <c r="H331" s="470"/>
    </row>
    <row r="332" spans="1:8">
      <c r="A332" s="455"/>
      <c r="B332" s="456" t="s">
        <v>25</v>
      </c>
      <c r="C332" s="457" t="s">
        <v>26</v>
      </c>
      <c r="D332" s="458"/>
      <c r="E332" s="459" t="s">
        <v>1310</v>
      </c>
      <c r="F332" s="460" t="s">
        <v>48</v>
      </c>
      <c r="G332" s="461">
        <v>5500</v>
      </c>
      <c r="H332" s="470"/>
    </row>
    <row r="333" spans="1:8">
      <c r="A333" s="455"/>
      <c r="B333" s="456" t="s">
        <v>25</v>
      </c>
      <c r="C333" s="457" t="s">
        <v>26</v>
      </c>
      <c r="D333" s="458"/>
      <c r="E333" s="459" t="s">
        <v>1312</v>
      </c>
      <c r="F333" s="460" t="s">
        <v>48</v>
      </c>
      <c r="G333" s="461">
        <v>5800</v>
      </c>
      <c r="H333" s="470"/>
    </row>
    <row r="334" spans="1:8">
      <c r="A334" s="455"/>
      <c r="B334" s="456" t="s">
        <v>25</v>
      </c>
      <c r="C334" s="457" t="s">
        <v>26</v>
      </c>
      <c r="D334" s="458"/>
      <c r="E334" s="459" t="s">
        <v>1313</v>
      </c>
      <c r="F334" s="460" t="s">
        <v>48</v>
      </c>
      <c r="G334" s="461">
        <v>6300</v>
      </c>
      <c r="H334" s="470"/>
    </row>
    <row r="335" spans="1:8">
      <c r="A335" s="455"/>
      <c r="B335" s="456" t="s">
        <v>25</v>
      </c>
      <c r="C335" s="457" t="s">
        <v>26</v>
      </c>
      <c r="D335" s="458"/>
      <c r="E335" s="459" t="s">
        <v>1315</v>
      </c>
      <c r="F335" s="460" t="s">
        <v>48</v>
      </c>
      <c r="G335" s="461">
        <v>6500</v>
      </c>
      <c r="H335" s="470"/>
    </row>
    <row r="336" spans="1:8" ht="46.5">
      <c r="A336" s="455"/>
      <c r="B336" s="456" t="s">
        <v>25</v>
      </c>
      <c r="C336" s="457" t="s">
        <v>26</v>
      </c>
      <c r="D336" s="458"/>
      <c r="E336" s="459" t="s">
        <v>1105</v>
      </c>
      <c r="F336" s="460" t="s">
        <v>78</v>
      </c>
      <c r="G336" s="461">
        <v>23000</v>
      </c>
      <c r="H336" s="470"/>
    </row>
    <row r="337" spans="1:8" ht="46.5">
      <c r="A337" s="455"/>
      <c r="B337" s="456" t="s">
        <v>25</v>
      </c>
      <c r="C337" s="457" t="s">
        <v>26</v>
      </c>
      <c r="D337" s="458"/>
      <c r="E337" s="459" t="s">
        <v>1318</v>
      </c>
      <c r="F337" s="460" t="s">
        <v>78</v>
      </c>
      <c r="G337" s="461">
        <v>25900</v>
      </c>
      <c r="H337" s="470"/>
    </row>
    <row r="338" spans="1:8" ht="46.5">
      <c r="A338" s="455"/>
      <c r="B338" s="456" t="s">
        <v>25</v>
      </c>
      <c r="C338" s="457" t="s">
        <v>26</v>
      </c>
      <c r="D338" s="458"/>
      <c r="E338" s="459" t="s">
        <v>1106</v>
      </c>
      <c r="F338" s="460" t="s">
        <v>78</v>
      </c>
      <c r="G338" s="461">
        <v>28600</v>
      </c>
      <c r="H338" s="470"/>
    </row>
    <row r="339" spans="1:8" ht="46.5">
      <c r="A339" s="455"/>
      <c r="B339" s="456" t="s">
        <v>25</v>
      </c>
      <c r="C339" s="457" t="s">
        <v>26</v>
      </c>
      <c r="D339" s="458"/>
      <c r="E339" s="459" t="s">
        <v>1110</v>
      </c>
      <c r="F339" s="460" t="s">
        <v>78</v>
      </c>
      <c r="G339" s="461">
        <v>30600</v>
      </c>
      <c r="H339" s="470"/>
    </row>
    <row r="340" spans="1:8" ht="46.5">
      <c r="A340" s="455"/>
      <c r="B340" s="456" t="s">
        <v>25</v>
      </c>
      <c r="C340" s="457" t="s">
        <v>26</v>
      </c>
      <c r="D340" s="458"/>
      <c r="E340" s="459" t="s">
        <v>1113</v>
      </c>
      <c r="F340" s="460" t="s">
        <v>78</v>
      </c>
      <c r="G340" s="461">
        <v>32400</v>
      </c>
      <c r="H340" s="470"/>
    </row>
    <row r="341" spans="1:8" ht="46.5">
      <c r="A341" s="455"/>
      <c r="B341" s="456" t="s">
        <v>25</v>
      </c>
      <c r="C341" s="457" t="s">
        <v>26</v>
      </c>
      <c r="D341" s="458"/>
      <c r="E341" s="459" t="s">
        <v>1319</v>
      </c>
      <c r="F341" s="460" t="s">
        <v>78</v>
      </c>
      <c r="G341" s="461">
        <v>36000</v>
      </c>
      <c r="H341" s="470"/>
    </row>
    <row r="342" spans="1:8" ht="46.5">
      <c r="A342" s="455"/>
      <c r="B342" s="456" t="s">
        <v>25</v>
      </c>
      <c r="C342" s="457" t="s">
        <v>26</v>
      </c>
      <c r="D342" s="458"/>
      <c r="E342" s="459" t="s">
        <v>1114</v>
      </c>
      <c r="F342" s="460" t="s">
        <v>78</v>
      </c>
      <c r="G342" s="461">
        <v>40200</v>
      </c>
      <c r="H342" s="470"/>
    </row>
    <row r="343" spans="1:8" ht="46.5">
      <c r="A343" s="455"/>
      <c r="B343" s="456" t="s">
        <v>25</v>
      </c>
      <c r="C343" s="457" t="s">
        <v>26</v>
      </c>
      <c r="D343" s="458"/>
      <c r="E343" s="459" t="s">
        <v>4142</v>
      </c>
      <c r="F343" s="460" t="s">
        <v>78</v>
      </c>
      <c r="G343" s="461">
        <v>42300</v>
      </c>
      <c r="H343" s="470"/>
    </row>
    <row r="344" spans="1:8" ht="46.5">
      <c r="A344" s="455"/>
      <c r="B344" s="456" t="s">
        <v>25</v>
      </c>
      <c r="C344" s="457" t="s">
        <v>26</v>
      </c>
      <c r="D344" s="458"/>
      <c r="E344" s="459" t="s">
        <v>1117</v>
      </c>
      <c r="F344" s="460" t="s">
        <v>78</v>
      </c>
      <c r="G344" s="461">
        <v>47000</v>
      </c>
      <c r="H344" s="470"/>
    </row>
    <row r="345" spans="1:8" ht="46.5">
      <c r="A345" s="455"/>
      <c r="B345" s="456" t="s">
        <v>25</v>
      </c>
      <c r="C345" s="457" t="s">
        <v>26</v>
      </c>
      <c r="D345" s="458"/>
      <c r="E345" s="459" t="s">
        <v>4116</v>
      </c>
      <c r="F345" s="460" t="s">
        <v>78</v>
      </c>
      <c r="G345" s="461">
        <v>51200</v>
      </c>
      <c r="H345" s="470"/>
    </row>
    <row r="346" spans="1:8" ht="46.5">
      <c r="A346" s="455"/>
      <c r="B346" s="456" t="s">
        <v>25</v>
      </c>
      <c r="C346" s="457" t="s">
        <v>26</v>
      </c>
      <c r="D346" s="458"/>
      <c r="E346" s="459" t="s">
        <v>691</v>
      </c>
      <c r="F346" s="460" t="s">
        <v>78</v>
      </c>
      <c r="G346" s="461">
        <v>53300</v>
      </c>
      <c r="H346" s="470"/>
    </row>
    <row r="347" spans="1:8" ht="46.5">
      <c r="A347" s="455"/>
      <c r="B347" s="456" t="s">
        <v>25</v>
      </c>
      <c r="C347" s="457" t="s">
        <v>26</v>
      </c>
      <c r="D347" s="458"/>
      <c r="E347" s="459" t="s">
        <v>701</v>
      </c>
      <c r="F347" s="460" t="s">
        <v>78</v>
      </c>
      <c r="G347" s="461">
        <v>57000</v>
      </c>
      <c r="H347" s="470"/>
    </row>
    <row r="348" spans="1:8" ht="69.75">
      <c r="A348" s="455"/>
      <c r="B348" s="456" t="s">
        <v>25</v>
      </c>
      <c r="C348" s="457" t="s">
        <v>26</v>
      </c>
      <c r="D348" s="458"/>
      <c r="E348" s="459" t="s">
        <v>1321</v>
      </c>
      <c r="F348" s="460" t="s">
        <v>78</v>
      </c>
      <c r="G348" s="461">
        <v>30100</v>
      </c>
      <c r="H348" s="470"/>
    </row>
    <row r="349" spans="1:8" ht="69.75">
      <c r="A349" s="455"/>
      <c r="B349" s="456" t="s">
        <v>25</v>
      </c>
      <c r="C349" s="457" t="s">
        <v>26</v>
      </c>
      <c r="D349" s="458"/>
      <c r="E349" s="459" t="s">
        <v>1322</v>
      </c>
      <c r="F349" s="460" t="s">
        <v>78</v>
      </c>
      <c r="G349" s="461">
        <v>34800</v>
      </c>
      <c r="H349" s="470"/>
    </row>
    <row r="350" spans="1:8" ht="69.75">
      <c r="A350" s="455"/>
      <c r="B350" s="456" t="s">
        <v>25</v>
      </c>
      <c r="C350" s="457" t="s">
        <v>26</v>
      </c>
      <c r="D350" s="458"/>
      <c r="E350" s="459" t="s">
        <v>1324</v>
      </c>
      <c r="F350" s="460" t="s">
        <v>78</v>
      </c>
      <c r="G350" s="461">
        <v>41500</v>
      </c>
      <c r="H350" s="470"/>
    </row>
    <row r="351" spans="1:8" ht="69.75">
      <c r="A351" s="455"/>
      <c r="B351" s="456" t="s">
        <v>25</v>
      </c>
      <c r="C351" s="457" t="s">
        <v>26</v>
      </c>
      <c r="D351" s="458"/>
      <c r="E351" s="459" t="s">
        <v>1326</v>
      </c>
      <c r="F351" s="460" t="s">
        <v>78</v>
      </c>
      <c r="G351" s="461">
        <v>43400</v>
      </c>
      <c r="H351" s="470"/>
    </row>
    <row r="352" spans="1:8" ht="69.75">
      <c r="A352" s="455"/>
      <c r="B352" s="456" t="s">
        <v>25</v>
      </c>
      <c r="C352" s="457" t="s">
        <v>26</v>
      </c>
      <c r="D352" s="458"/>
      <c r="E352" s="459" t="s">
        <v>1328</v>
      </c>
      <c r="F352" s="460" t="s">
        <v>78</v>
      </c>
      <c r="G352" s="461">
        <v>48100</v>
      </c>
      <c r="H352" s="470"/>
    </row>
    <row r="353" spans="1:8" ht="69.75">
      <c r="A353" s="455"/>
      <c r="B353" s="456" t="s">
        <v>25</v>
      </c>
      <c r="C353" s="457" t="s">
        <v>26</v>
      </c>
      <c r="D353" s="458"/>
      <c r="E353" s="459" t="s">
        <v>1330</v>
      </c>
      <c r="F353" s="460" t="s">
        <v>78</v>
      </c>
      <c r="G353" s="461">
        <v>55400</v>
      </c>
      <c r="H353" s="470"/>
    </row>
    <row r="354" spans="1:8" ht="69.75">
      <c r="A354" s="455"/>
      <c r="B354" s="456" t="s">
        <v>25</v>
      </c>
      <c r="C354" s="457" t="s">
        <v>26</v>
      </c>
      <c r="D354" s="458"/>
      <c r="E354" s="459" t="s">
        <v>1332</v>
      </c>
      <c r="F354" s="460" t="s">
        <v>78</v>
      </c>
      <c r="G354" s="461">
        <v>62700</v>
      </c>
      <c r="H354" s="470"/>
    </row>
    <row r="355" spans="1:8" ht="69.75">
      <c r="A355" s="455"/>
      <c r="B355" s="456" t="s">
        <v>25</v>
      </c>
      <c r="C355" s="457" t="s">
        <v>26</v>
      </c>
      <c r="D355" s="458"/>
      <c r="E355" s="459" t="s">
        <v>1334</v>
      </c>
      <c r="F355" s="460" t="s">
        <v>78</v>
      </c>
      <c r="G355" s="461">
        <v>71000</v>
      </c>
      <c r="H355" s="470"/>
    </row>
    <row r="356" spans="1:8" ht="46.5">
      <c r="A356" s="455"/>
      <c r="B356" s="456" t="s">
        <v>25</v>
      </c>
      <c r="C356" s="457" t="s">
        <v>26</v>
      </c>
      <c r="D356" s="458"/>
      <c r="E356" s="459" t="s">
        <v>4147</v>
      </c>
      <c r="F356" s="460" t="s">
        <v>78</v>
      </c>
      <c r="G356" s="461">
        <v>17000</v>
      </c>
      <c r="H356" s="470"/>
    </row>
    <row r="357" spans="1:8" ht="46.5">
      <c r="A357" s="455"/>
      <c r="B357" s="456" t="s">
        <v>25</v>
      </c>
      <c r="C357" s="457" t="s">
        <v>26</v>
      </c>
      <c r="D357" s="458"/>
      <c r="E357" s="459" t="s">
        <v>4148</v>
      </c>
      <c r="F357" s="460" t="s">
        <v>78</v>
      </c>
      <c r="G357" s="461">
        <v>21000</v>
      </c>
      <c r="H357" s="470"/>
    </row>
    <row r="358" spans="1:8" ht="46.5">
      <c r="A358" s="455"/>
      <c r="B358" s="456" t="s">
        <v>25</v>
      </c>
      <c r="C358" s="457" t="s">
        <v>26</v>
      </c>
      <c r="D358" s="458"/>
      <c r="E358" s="459" t="s">
        <v>4149</v>
      </c>
      <c r="F358" s="460" t="s">
        <v>78</v>
      </c>
      <c r="G358" s="461">
        <v>20000</v>
      </c>
      <c r="H358" s="470"/>
    </row>
    <row r="359" spans="1:8" ht="46.5">
      <c r="A359" s="455"/>
      <c r="B359" s="456" t="s">
        <v>25</v>
      </c>
      <c r="C359" s="457" t="s">
        <v>26</v>
      </c>
      <c r="D359" s="458"/>
      <c r="E359" s="459" t="s">
        <v>4150</v>
      </c>
      <c r="F359" s="460" t="s">
        <v>78</v>
      </c>
      <c r="G359" s="461">
        <v>28000</v>
      </c>
      <c r="H359" s="470"/>
    </row>
    <row r="360" spans="1:8" ht="46.5">
      <c r="A360" s="455"/>
      <c r="B360" s="456" t="s">
        <v>25</v>
      </c>
      <c r="C360" s="457" t="s">
        <v>26</v>
      </c>
      <c r="D360" s="458"/>
      <c r="E360" s="459" t="s">
        <v>4151</v>
      </c>
      <c r="F360" s="460" t="s">
        <v>78</v>
      </c>
      <c r="G360" s="461">
        <v>24200</v>
      </c>
      <c r="H360" s="470"/>
    </row>
    <row r="361" spans="1:8" ht="46.5">
      <c r="A361" s="455"/>
      <c r="B361" s="456" t="s">
        <v>25</v>
      </c>
      <c r="C361" s="457" t="s">
        <v>26</v>
      </c>
      <c r="D361" s="458"/>
      <c r="E361" s="459" t="s">
        <v>4152</v>
      </c>
      <c r="F361" s="460" t="s">
        <v>78</v>
      </c>
      <c r="G361" s="461">
        <v>27400</v>
      </c>
      <c r="H361" s="470"/>
    </row>
    <row r="362" spans="1:8" ht="46.5">
      <c r="A362" s="455"/>
      <c r="B362" s="456" t="s">
        <v>25</v>
      </c>
      <c r="C362" s="457" t="s">
        <v>26</v>
      </c>
      <c r="D362" s="458"/>
      <c r="E362" s="459" t="s">
        <v>4153</v>
      </c>
      <c r="F362" s="460" t="s">
        <v>78</v>
      </c>
      <c r="G362" s="461">
        <v>29900</v>
      </c>
      <c r="H362" s="470"/>
    </row>
    <row r="363" spans="1:8" ht="46.5">
      <c r="A363" s="455"/>
      <c r="B363" s="456" t="s">
        <v>25</v>
      </c>
      <c r="C363" s="457" t="s">
        <v>26</v>
      </c>
      <c r="D363" s="458"/>
      <c r="E363" s="459" t="s">
        <v>4154</v>
      </c>
      <c r="F363" s="460" t="s">
        <v>78</v>
      </c>
      <c r="G363" s="461">
        <v>36400</v>
      </c>
      <c r="H363" s="470"/>
    </row>
    <row r="364" spans="1:8" ht="46.5">
      <c r="A364" s="455"/>
      <c r="B364" s="456" t="s">
        <v>25</v>
      </c>
      <c r="C364" s="457" t="s">
        <v>26</v>
      </c>
      <c r="D364" s="458"/>
      <c r="E364" s="459" t="s">
        <v>1342</v>
      </c>
      <c r="F364" s="460" t="s">
        <v>78</v>
      </c>
      <c r="G364" s="461">
        <v>58000</v>
      </c>
      <c r="H364" s="470"/>
    </row>
    <row r="365" spans="1:8" ht="46.5">
      <c r="A365" s="455"/>
      <c r="B365" s="456" t="s">
        <v>25</v>
      </c>
      <c r="C365" s="457" t="s">
        <v>26</v>
      </c>
      <c r="D365" s="458"/>
      <c r="E365" s="459" t="s">
        <v>1343</v>
      </c>
      <c r="F365" s="460" t="s">
        <v>78</v>
      </c>
      <c r="G365" s="461">
        <v>61000</v>
      </c>
      <c r="H365" s="470"/>
    </row>
    <row r="366" spans="1:8" ht="46.5">
      <c r="A366" s="455"/>
      <c r="B366" s="456" t="s">
        <v>25</v>
      </c>
      <c r="C366" s="457" t="s">
        <v>26</v>
      </c>
      <c r="D366" s="458"/>
      <c r="E366" s="459" t="s">
        <v>1344</v>
      </c>
      <c r="F366" s="460" t="s">
        <v>78</v>
      </c>
      <c r="G366" s="461">
        <v>12000</v>
      </c>
      <c r="H366" s="470"/>
    </row>
    <row r="367" spans="1:8" ht="46.5">
      <c r="A367" s="455"/>
      <c r="B367" s="456" t="s">
        <v>25</v>
      </c>
      <c r="C367" s="457" t="s">
        <v>26</v>
      </c>
      <c r="D367" s="458"/>
      <c r="E367" s="459" t="s">
        <v>1345</v>
      </c>
      <c r="F367" s="460" t="s">
        <v>78</v>
      </c>
      <c r="G367" s="461">
        <v>54300</v>
      </c>
      <c r="H367" s="470"/>
    </row>
    <row r="368" spans="1:8" ht="46.5">
      <c r="A368" s="455"/>
      <c r="B368" s="456" t="s">
        <v>25</v>
      </c>
      <c r="C368" s="457" t="s">
        <v>26</v>
      </c>
      <c r="D368" s="458"/>
      <c r="E368" s="459" t="s">
        <v>1346</v>
      </c>
      <c r="F368" s="460" t="s">
        <v>78</v>
      </c>
      <c r="G368" s="461">
        <v>52000</v>
      </c>
      <c r="H368" s="470"/>
    </row>
    <row r="369" spans="1:8" ht="46.5">
      <c r="A369" s="455"/>
      <c r="B369" s="456" t="s">
        <v>25</v>
      </c>
      <c r="C369" s="457" t="s">
        <v>26</v>
      </c>
      <c r="D369" s="458"/>
      <c r="E369" s="459" t="s">
        <v>1347</v>
      </c>
      <c r="F369" s="460" t="s">
        <v>78</v>
      </c>
      <c r="G369" s="461">
        <v>18000</v>
      </c>
      <c r="H369" s="470"/>
    </row>
    <row r="370" spans="1:8" ht="46.5">
      <c r="A370" s="455"/>
      <c r="B370" s="456" t="s">
        <v>25</v>
      </c>
      <c r="C370" s="457" t="s">
        <v>26</v>
      </c>
      <c r="D370" s="458"/>
      <c r="E370" s="459" t="s">
        <v>1348</v>
      </c>
      <c r="F370" s="460" t="s">
        <v>78</v>
      </c>
      <c r="G370" s="461">
        <v>19000</v>
      </c>
      <c r="H370" s="470"/>
    </row>
    <row r="371" spans="1:8" ht="46.5">
      <c r="A371" s="455"/>
      <c r="B371" s="456" t="s">
        <v>25</v>
      </c>
      <c r="C371" s="457" t="s">
        <v>26</v>
      </c>
      <c r="D371" s="458"/>
      <c r="E371" s="459" t="s">
        <v>1351</v>
      </c>
      <c r="F371" s="460" t="s">
        <v>78</v>
      </c>
      <c r="G371" s="461">
        <v>17800</v>
      </c>
      <c r="H371" s="470"/>
    </row>
    <row r="372" spans="1:8" ht="46.5">
      <c r="A372" s="455"/>
      <c r="B372" s="456" t="s">
        <v>25</v>
      </c>
      <c r="C372" s="457" t="s">
        <v>26</v>
      </c>
      <c r="D372" s="458"/>
      <c r="E372" s="459" t="s">
        <v>1352</v>
      </c>
      <c r="F372" s="460" t="s">
        <v>78</v>
      </c>
      <c r="G372" s="461">
        <v>85000</v>
      </c>
      <c r="H372" s="470"/>
    </row>
    <row r="373" spans="1:8" ht="46.5">
      <c r="A373" s="455"/>
      <c r="B373" s="456" t="s">
        <v>25</v>
      </c>
      <c r="C373" s="457" t="s">
        <v>26</v>
      </c>
      <c r="D373" s="458"/>
      <c r="E373" s="459" t="s">
        <v>1353</v>
      </c>
      <c r="F373" s="460" t="s">
        <v>78</v>
      </c>
      <c r="G373" s="461">
        <v>45000</v>
      </c>
      <c r="H373" s="470"/>
    </row>
    <row r="374" spans="1:8" ht="46.5">
      <c r="A374" s="455"/>
      <c r="B374" s="456" t="s">
        <v>25</v>
      </c>
      <c r="C374" s="457" t="s">
        <v>26</v>
      </c>
      <c r="D374" s="458"/>
      <c r="E374" s="459" t="s">
        <v>1354</v>
      </c>
      <c r="F374" s="460" t="s">
        <v>78</v>
      </c>
      <c r="G374" s="461">
        <v>95000</v>
      </c>
      <c r="H374" s="470"/>
    </row>
    <row r="375" spans="1:8" ht="69.75">
      <c r="A375" s="455"/>
      <c r="B375" s="456" t="s">
        <v>25</v>
      </c>
      <c r="C375" s="457" t="s">
        <v>26</v>
      </c>
      <c r="D375" s="458"/>
      <c r="E375" s="459" t="s">
        <v>1355</v>
      </c>
      <c r="F375" s="460" t="s">
        <v>78</v>
      </c>
      <c r="G375" s="461">
        <v>13400</v>
      </c>
      <c r="H375" s="470"/>
    </row>
    <row r="376" spans="1:8" ht="69.75">
      <c r="A376" s="455"/>
      <c r="B376" s="456" t="s">
        <v>25</v>
      </c>
      <c r="C376" s="457" t="s">
        <v>26</v>
      </c>
      <c r="D376" s="458"/>
      <c r="E376" s="459" t="s">
        <v>1356</v>
      </c>
      <c r="F376" s="460" t="s">
        <v>78</v>
      </c>
      <c r="G376" s="461">
        <v>22500</v>
      </c>
      <c r="H376" s="470"/>
    </row>
    <row r="377" spans="1:8" ht="46.5">
      <c r="A377" s="455"/>
      <c r="B377" s="456" t="s">
        <v>25</v>
      </c>
      <c r="C377" s="457" t="s">
        <v>26</v>
      </c>
      <c r="D377" s="458"/>
      <c r="E377" s="459" t="s">
        <v>4166</v>
      </c>
      <c r="F377" s="460" t="s">
        <v>78</v>
      </c>
      <c r="G377" s="461">
        <v>9500</v>
      </c>
      <c r="H377" s="470"/>
    </row>
    <row r="378" spans="1:8" ht="46.5">
      <c r="A378" s="455"/>
      <c r="B378" s="456" t="s">
        <v>25</v>
      </c>
      <c r="C378" s="457" t="s">
        <v>26</v>
      </c>
      <c r="D378" s="458"/>
      <c r="E378" s="459" t="s">
        <v>4165</v>
      </c>
      <c r="F378" s="460" t="s">
        <v>78</v>
      </c>
      <c r="G378" s="461">
        <v>16000</v>
      </c>
      <c r="H378" s="470"/>
    </row>
    <row r="379" spans="1:8" ht="46.5">
      <c r="A379" s="455"/>
      <c r="B379" s="456" t="s">
        <v>25</v>
      </c>
      <c r="C379" s="457" t="s">
        <v>26</v>
      </c>
      <c r="D379" s="458"/>
      <c r="E379" s="459" t="s">
        <v>4164</v>
      </c>
      <c r="F379" s="460" t="s">
        <v>78</v>
      </c>
      <c r="G379" s="461">
        <v>20000</v>
      </c>
      <c r="H379" s="470"/>
    </row>
    <row r="380" spans="1:8" ht="46.5">
      <c r="A380" s="455"/>
      <c r="B380" s="456" t="s">
        <v>25</v>
      </c>
      <c r="C380" s="457" t="s">
        <v>26</v>
      </c>
      <c r="D380" s="458"/>
      <c r="E380" s="459" t="s">
        <v>4163</v>
      </c>
      <c r="F380" s="460" t="s">
        <v>78</v>
      </c>
      <c r="G380" s="461">
        <v>11000</v>
      </c>
      <c r="H380" s="470"/>
    </row>
    <row r="381" spans="1:8" ht="46.5">
      <c r="A381" s="455"/>
      <c r="B381" s="456" t="s">
        <v>25</v>
      </c>
      <c r="C381" s="457" t="s">
        <v>26</v>
      </c>
      <c r="D381" s="458"/>
      <c r="E381" s="459" t="s">
        <v>1362</v>
      </c>
      <c r="F381" s="460" t="s">
        <v>78</v>
      </c>
      <c r="G381" s="461">
        <v>11000</v>
      </c>
      <c r="H381" s="470"/>
    </row>
    <row r="382" spans="1:8" ht="46.5">
      <c r="A382" s="455"/>
      <c r="B382" s="456" t="s">
        <v>25</v>
      </c>
      <c r="C382" s="457" t="s">
        <v>26</v>
      </c>
      <c r="D382" s="458"/>
      <c r="E382" s="459" t="s">
        <v>1363</v>
      </c>
      <c r="F382" s="460" t="s">
        <v>78</v>
      </c>
      <c r="G382" s="461">
        <v>15000</v>
      </c>
      <c r="H382" s="470"/>
    </row>
    <row r="383" spans="1:8" ht="46.5">
      <c r="A383" s="455"/>
      <c r="B383" s="456" t="s">
        <v>25</v>
      </c>
      <c r="C383" s="457" t="s">
        <v>26</v>
      </c>
      <c r="D383" s="458"/>
      <c r="E383" s="459" t="s">
        <v>1364</v>
      </c>
      <c r="F383" s="460" t="s">
        <v>78</v>
      </c>
      <c r="G383" s="461">
        <v>27700</v>
      </c>
      <c r="H383" s="470"/>
    </row>
    <row r="384" spans="1:8" ht="46.5">
      <c r="A384" s="455"/>
      <c r="B384" s="456" t="s">
        <v>25</v>
      </c>
      <c r="C384" s="457" t="s">
        <v>26</v>
      </c>
      <c r="D384" s="458"/>
      <c r="E384" s="459" t="s">
        <v>1365</v>
      </c>
      <c r="F384" s="460" t="s">
        <v>78</v>
      </c>
      <c r="G384" s="461">
        <v>25000</v>
      </c>
      <c r="H384" s="470"/>
    </row>
    <row r="385" spans="1:8" ht="46.5">
      <c r="A385" s="455"/>
      <c r="B385" s="456" t="s">
        <v>25</v>
      </c>
      <c r="C385" s="457" t="s">
        <v>26</v>
      </c>
      <c r="D385" s="458"/>
      <c r="E385" s="459" t="s">
        <v>1366</v>
      </c>
      <c r="F385" s="460" t="s">
        <v>78</v>
      </c>
      <c r="G385" s="461">
        <v>30000</v>
      </c>
      <c r="H385" s="470"/>
    </row>
    <row r="386" spans="1:8" ht="46.5">
      <c r="A386" s="455"/>
      <c r="B386" s="456" t="s">
        <v>25</v>
      </c>
      <c r="C386" s="457" t="s">
        <v>26</v>
      </c>
      <c r="D386" s="458"/>
      <c r="E386" s="459" t="s">
        <v>1367</v>
      </c>
      <c r="F386" s="460" t="s">
        <v>78</v>
      </c>
      <c r="G386" s="461">
        <v>40000</v>
      </c>
      <c r="H386" s="470"/>
    </row>
    <row r="387" spans="1:8" ht="46.5">
      <c r="A387" s="455"/>
      <c r="B387" s="456" t="s">
        <v>25</v>
      </c>
      <c r="C387" s="457" t="s">
        <v>26</v>
      </c>
      <c r="D387" s="458"/>
      <c r="E387" s="459" t="s">
        <v>1368</v>
      </c>
      <c r="F387" s="460" t="s">
        <v>78</v>
      </c>
      <c r="G387" s="461">
        <v>21400</v>
      </c>
      <c r="H387" s="470"/>
    </row>
    <row r="388" spans="1:8">
      <c r="A388" s="455"/>
      <c r="B388" s="456" t="s">
        <v>25</v>
      </c>
      <c r="C388" s="457" t="s">
        <v>26</v>
      </c>
      <c r="D388" s="458"/>
      <c r="E388" s="459" t="s">
        <v>1369</v>
      </c>
      <c r="F388" s="460" t="s">
        <v>28</v>
      </c>
      <c r="G388" s="461">
        <v>7500000</v>
      </c>
      <c r="H388" s="470"/>
    </row>
    <row r="389" spans="1:8">
      <c r="A389" s="455"/>
      <c r="B389" s="456" t="s">
        <v>25</v>
      </c>
      <c r="C389" s="457" t="s">
        <v>26</v>
      </c>
      <c r="D389" s="458"/>
      <c r="E389" s="459" t="s">
        <v>1370</v>
      </c>
      <c r="F389" s="460" t="s">
        <v>28</v>
      </c>
      <c r="G389" s="461">
        <v>4000000</v>
      </c>
      <c r="H389" s="470"/>
    </row>
    <row r="390" spans="1:8">
      <c r="A390" s="455"/>
      <c r="B390" s="456" t="s">
        <v>25</v>
      </c>
      <c r="C390" s="457" t="s">
        <v>26</v>
      </c>
      <c r="D390" s="458"/>
      <c r="E390" s="459" t="s">
        <v>1373</v>
      </c>
      <c r="F390" s="460" t="s">
        <v>28</v>
      </c>
      <c r="G390" s="461">
        <v>4500000</v>
      </c>
      <c r="H390" s="470"/>
    </row>
    <row r="391" spans="1:8">
      <c r="A391" s="455"/>
      <c r="B391" s="456" t="s">
        <v>25</v>
      </c>
      <c r="C391" s="457" t="s">
        <v>26</v>
      </c>
      <c r="D391" s="458"/>
      <c r="E391" s="459" t="s">
        <v>1374</v>
      </c>
      <c r="F391" s="460" t="s">
        <v>28</v>
      </c>
      <c r="G391" s="461">
        <v>6800000</v>
      </c>
      <c r="H391" s="470"/>
    </row>
    <row r="392" spans="1:8">
      <c r="A392" s="455"/>
      <c r="B392" s="456" t="s">
        <v>25</v>
      </c>
      <c r="C392" s="457" t="s">
        <v>26</v>
      </c>
      <c r="D392" s="458"/>
      <c r="E392" s="459" t="s">
        <v>1375</v>
      </c>
      <c r="F392" s="460" t="s">
        <v>28</v>
      </c>
      <c r="G392" s="461">
        <v>4000000</v>
      </c>
      <c r="H392" s="470"/>
    </row>
    <row r="393" spans="1:8">
      <c r="A393" s="455"/>
      <c r="B393" s="456" t="s">
        <v>25</v>
      </c>
      <c r="C393" s="457" t="s">
        <v>26</v>
      </c>
      <c r="D393" s="458"/>
      <c r="E393" s="459" t="s">
        <v>4157</v>
      </c>
      <c r="F393" s="460" t="s">
        <v>28</v>
      </c>
      <c r="G393" s="461">
        <v>4500000</v>
      </c>
      <c r="H393" s="470"/>
    </row>
    <row r="394" spans="1:8">
      <c r="A394" s="455"/>
      <c r="B394" s="456" t="s">
        <v>25</v>
      </c>
      <c r="C394" s="457" t="s">
        <v>26</v>
      </c>
      <c r="D394" s="458"/>
      <c r="E394" s="459" t="s">
        <v>1379</v>
      </c>
      <c r="F394" s="460" t="s">
        <v>28</v>
      </c>
      <c r="G394" s="461">
        <v>2800000</v>
      </c>
      <c r="H394" s="470"/>
    </row>
    <row r="395" spans="1:8">
      <c r="A395" s="455"/>
      <c r="B395" s="456" t="s">
        <v>25</v>
      </c>
      <c r="C395" s="457" t="s">
        <v>26</v>
      </c>
      <c r="D395" s="458"/>
      <c r="E395" s="459" t="s">
        <v>1382</v>
      </c>
      <c r="F395" s="460" t="s">
        <v>28</v>
      </c>
      <c r="G395" s="461">
        <v>3300000</v>
      </c>
      <c r="H395" s="470"/>
    </row>
    <row r="396" spans="1:8">
      <c r="A396" s="455"/>
      <c r="B396" s="456" t="s">
        <v>25</v>
      </c>
      <c r="C396" s="457" t="s">
        <v>26</v>
      </c>
      <c r="D396" s="458"/>
      <c r="E396" s="459" t="s">
        <v>1383</v>
      </c>
      <c r="F396" s="460" t="s">
        <v>28</v>
      </c>
      <c r="G396" s="461">
        <v>2900000</v>
      </c>
      <c r="H396" s="470"/>
    </row>
    <row r="397" spans="1:8" ht="93">
      <c r="A397" s="455"/>
      <c r="B397" s="456" t="s">
        <v>25</v>
      </c>
      <c r="C397" s="457" t="s">
        <v>26</v>
      </c>
      <c r="D397" s="458"/>
      <c r="E397" s="459" t="s">
        <v>4144</v>
      </c>
      <c r="F397" s="460" t="s">
        <v>28</v>
      </c>
      <c r="G397" s="461">
        <v>950000</v>
      </c>
      <c r="H397" s="470"/>
    </row>
    <row r="398" spans="1:8" ht="93">
      <c r="A398" s="455"/>
      <c r="B398" s="456" t="s">
        <v>25</v>
      </c>
      <c r="C398" s="457" t="s">
        <v>26</v>
      </c>
      <c r="D398" s="458"/>
      <c r="E398" s="459" t="s">
        <v>1385</v>
      </c>
      <c r="F398" s="460" t="s">
        <v>28</v>
      </c>
      <c r="G398" s="461">
        <v>2119000</v>
      </c>
      <c r="H398" s="470"/>
    </row>
    <row r="399" spans="1:8" ht="93">
      <c r="A399" s="455"/>
      <c r="B399" s="456" t="s">
        <v>25</v>
      </c>
      <c r="C399" s="457" t="s">
        <v>26</v>
      </c>
      <c r="D399" s="458"/>
      <c r="E399" s="459" t="s">
        <v>1386</v>
      </c>
      <c r="F399" s="460" t="s">
        <v>28</v>
      </c>
      <c r="G399" s="461">
        <v>2400000</v>
      </c>
      <c r="H399" s="470"/>
    </row>
    <row r="400" spans="1:8" ht="46.5">
      <c r="A400" s="455"/>
      <c r="B400" s="456" t="s">
        <v>25</v>
      </c>
      <c r="C400" s="457" t="s">
        <v>26</v>
      </c>
      <c r="D400" s="458"/>
      <c r="E400" s="459" t="s">
        <v>1387</v>
      </c>
      <c r="F400" s="460" t="s">
        <v>28</v>
      </c>
      <c r="G400" s="461">
        <v>398000</v>
      </c>
      <c r="H400" s="470"/>
    </row>
    <row r="401" spans="1:8" ht="46.5">
      <c r="A401" s="455"/>
      <c r="B401" s="456" t="s">
        <v>25</v>
      </c>
      <c r="C401" s="457" t="s">
        <v>26</v>
      </c>
      <c r="D401" s="458"/>
      <c r="E401" s="459" t="s">
        <v>4145</v>
      </c>
      <c r="F401" s="460" t="s">
        <v>28</v>
      </c>
      <c r="G401" s="461">
        <v>590000</v>
      </c>
      <c r="H401" s="470"/>
    </row>
    <row r="402" spans="1:8" ht="46.5">
      <c r="A402" s="455"/>
      <c r="B402" s="456" t="s">
        <v>25</v>
      </c>
      <c r="C402" s="457" t="s">
        <v>26</v>
      </c>
      <c r="D402" s="458"/>
      <c r="E402" s="459" t="s">
        <v>4146</v>
      </c>
      <c r="F402" s="460" t="s">
        <v>28</v>
      </c>
      <c r="G402" s="461">
        <v>1100000</v>
      </c>
      <c r="H402" s="470"/>
    </row>
    <row r="403" spans="1:8">
      <c r="A403" s="455"/>
      <c r="B403" s="456" t="s">
        <v>25</v>
      </c>
      <c r="C403" s="457" t="s">
        <v>26</v>
      </c>
      <c r="D403" s="458"/>
      <c r="E403" s="459" t="s">
        <v>1390</v>
      </c>
      <c r="F403" s="460" t="s">
        <v>53</v>
      </c>
      <c r="G403" s="461">
        <v>8500</v>
      </c>
      <c r="H403" s="470"/>
    </row>
    <row r="404" spans="1:8">
      <c r="A404" s="455"/>
      <c r="B404" s="456" t="s">
        <v>25</v>
      </c>
      <c r="C404" s="457" t="s">
        <v>26</v>
      </c>
      <c r="D404" s="458"/>
      <c r="E404" s="459" t="s">
        <v>1391</v>
      </c>
      <c r="F404" s="460" t="s">
        <v>53</v>
      </c>
      <c r="G404" s="461">
        <v>12000</v>
      </c>
      <c r="H404" s="470"/>
    </row>
    <row r="405" spans="1:8">
      <c r="A405" s="455"/>
      <c r="B405" s="456" t="s">
        <v>25</v>
      </c>
      <c r="C405" s="457" t="s">
        <v>26</v>
      </c>
      <c r="D405" s="458"/>
      <c r="E405" s="459" t="s">
        <v>1392</v>
      </c>
      <c r="F405" s="460" t="s">
        <v>53</v>
      </c>
      <c r="G405" s="461">
        <v>17000</v>
      </c>
      <c r="H405" s="470"/>
    </row>
    <row r="406" spans="1:8" ht="46.5">
      <c r="A406" s="455"/>
      <c r="B406" s="456" t="s">
        <v>25</v>
      </c>
      <c r="C406" s="457" t="s">
        <v>26</v>
      </c>
      <c r="D406" s="458"/>
      <c r="E406" s="459" t="s">
        <v>1393</v>
      </c>
      <c r="F406" s="460" t="s">
        <v>78</v>
      </c>
      <c r="G406" s="461">
        <v>5600</v>
      </c>
      <c r="H406" s="470"/>
    </row>
    <row r="407" spans="1:8" ht="46.5">
      <c r="A407" s="455"/>
      <c r="B407" s="456" t="s">
        <v>25</v>
      </c>
      <c r="C407" s="457" t="s">
        <v>26</v>
      </c>
      <c r="D407" s="458"/>
      <c r="E407" s="459" t="s">
        <v>1394</v>
      </c>
      <c r="F407" s="460" t="s">
        <v>78</v>
      </c>
      <c r="G407" s="461">
        <v>6900</v>
      </c>
      <c r="H407" s="470"/>
    </row>
    <row r="408" spans="1:8" ht="69.75">
      <c r="A408" s="455"/>
      <c r="B408" s="462" t="s">
        <v>1396</v>
      </c>
      <c r="C408" s="457" t="s">
        <v>26</v>
      </c>
      <c r="D408" s="458"/>
      <c r="E408" s="459" t="s">
        <v>1397</v>
      </c>
      <c r="F408" s="460" t="s">
        <v>78</v>
      </c>
      <c r="G408" s="461">
        <v>47000</v>
      </c>
      <c r="H408" s="470"/>
    </row>
    <row r="409" spans="1:8" ht="69.75">
      <c r="A409" s="455"/>
      <c r="B409" s="462" t="s">
        <v>1396</v>
      </c>
      <c r="C409" s="457" t="s">
        <v>26</v>
      </c>
      <c r="D409" s="458"/>
      <c r="E409" s="459" t="s">
        <v>1399</v>
      </c>
      <c r="F409" s="460" t="s">
        <v>78</v>
      </c>
      <c r="G409" s="461">
        <v>55000</v>
      </c>
      <c r="H409" s="470"/>
    </row>
    <row r="410" spans="1:8">
      <c r="A410" s="463"/>
      <c r="B410" s="462" t="s">
        <v>1396</v>
      </c>
      <c r="C410" s="457" t="s">
        <v>26</v>
      </c>
      <c r="D410" s="463"/>
      <c r="E410" s="464" t="s">
        <v>147</v>
      </c>
      <c r="F410" s="465" t="s">
        <v>78</v>
      </c>
      <c r="G410" s="466">
        <v>11000</v>
      </c>
      <c r="H410" s="471"/>
    </row>
    <row r="411" spans="1:8">
      <c r="A411" s="463"/>
      <c r="B411" s="462" t="s">
        <v>1396</v>
      </c>
      <c r="C411" s="457" t="s">
        <v>26</v>
      </c>
      <c r="D411" s="463"/>
      <c r="E411" s="464" t="s">
        <v>149</v>
      </c>
      <c r="F411" s="465" t="s">
        <v>78</v>
      </c>
      <c r="G411" s="466">
        <v>17500</v>
      </c>
      <c r="H411" s="471"/>
    </row>
    <row r="412" spans="1:8">
      <c r="A412" s="463"/>
      <c r="B412" s="456" t="s">
        <v>25</v>
      </c>
      <c r="C412" s="457" t="s">
        <v>26</v>
      </c>
      <c r="D412" s="463"/>
      <c r="E412" s="464" t="s">
        <v>4197</v>
      </c>
      <c r="F412" s="467" t="s">
        <v>78</v>
      </c>
      <c r="G412" s="468">
        <v>9500</v>
      </c>
      <c r="H412" s="471"/>
    </row>
    <row r="413" spans="1:8">
      <c r="A413" s="463"/>
      <c r="B413" s="456" t="s">
        <v>25</v>
      </c>
      <c r="C413" s="457" t="s">
        <v>26</v>
      </c>
      <c r="D413" s="463"/>
      <c r="E413" s="464" t="s">
        <v>3694</v>
      </c>
      <c r="F413" s="467" t="s">
        <v>78</v>
      </c>
      <c r="G413" s="468">
        <v>10900</v>
      </c>
      <c r="H413" s="471"/>
    </row>
    <row r="414" spans="1:8">
      <c r="A414" s="463"/>
      <c r="B414" s="456" t="s">
        <v>25</v>
      </c>
      <c r="C414" s="457" t="s">
        <v>26</v>
      </c>
      <c r="D414" s="463"/>
      <c r="E414" s="464" t="s">
        <v>3695</v>
      </c>
      <c r="F414" s="467" t="s">
        <v>78</v>
      </c>
      <c r="G414" s="468">
        <v>13000</v>
      </c>
      <c r="H414" s="471"/>
    </row>
    <row r="415" spans="1:8">
      <c r="A415" s="463"/>
      <c r="B415" s="456" t="s">
        <v>25</v>
      </c>
      <c r="C415" s="457" t="s">
        <v>26</v>
      </c>
      <c r="D415" s="463"/>
      <c r="E415" s="464" t="s">
        <v>3696</v>
      </c>
      <c r="F415" s="467" t="s">
        <v>78</v>
      </c>
      <c r="G415" s="468">
        <v>12000</v>
      </c>
      <c r="H415" s="471"/>
    </row>
    <row r="416" spans="1:8">
      <c r="A416" s="463"/>
      <c r="B416" s="456" t="s">
        <v>25</v>
      </c>
      <c r="C416" s="457" t="s">
        <v>26</v>
      </c>
      <c r="D416" s="463"/>
      <c r="E416" s="464" t="s">
        <v>3697</v>
      </c>
      <c r="F416" s="467" t="s">
        <v>78</v>
      </c>
      <c r="G416" s="468">
        <v>182000</v>
      </c>
      <c r="H416" s="471"/>
    </row>
    <row r="417" spans="1:8">
      <c r="A417" s="463"/>
      <c r="B417" s="456" t="s">
        <v>25</v>
      </c>
      <c r="C417" s="457" t="s">
        <v>26</v>
      </c>
      <c r="D417" s="463"/>
      <c r="E417" s="464" t="s">
        <v>4198</v>
      </c>
      <c r="F417" s="467" t="s">
        <v>433</v>
      </c>
      <c r="G417" s="468">
        <v>5200</v>
      </c>
      <c r="H417" s="471"/>
    </row>
    <row r="418" spans="1:8">
      <c r="A418" s="463"/>
      <c r="B418" s="456" t="s">
        <v>25</v>
      </c>
      <c r="C418" s="457" t="s">
        <v>26</v>
      </c>
      <c r="D418" s="463"/>
      <c r="E418" s="464" t="s">
        <v>4199</v>
      </c>
      <c r="F418" s="467" t="s">
        <v>433</v>
      </c>
      <c r="G418" s="468">
        <v>6400</v>
      </c>
      <c r="H418" s="471"/>
    </row>
    <row r="419" spans="1:8">
      <c r="A419" s="463"/>
      <c r="B419" s="456" t="s">
        <v>25</v>
      </c>
      <c r="C419" s="457" t="s">
        <v>26</v>
      </c>
      <c r="D419" s="463"/>
      <c r="E419" s="464" t="s">
        <v>4200</v>
      </c>
      <c r="F419" s="467" t="s">
        <v>433</v>
      </c>
      <c r="G419" s="468">
        <v>8300</v>
      </c>
      <c r="H419" s="471"/>
    </row>
    <row r="420" spans="1:8">
      <c r="A420" s="463"/>
      <c r="B420" s="456" t="s">
        <v>25</v>
      </c>
      <c r="C420" s="457" t="s">
        <v>26</v>
      </c>
      <c r="D420" s="463"/>
      <c r="E420" s="464" t="s">
        <v>4201</v>
      </c>
      <c r="F420" s="467" t="s">
        <v>433</v>
      </c>
      <c r="G420" s="468">
        <v>9300</v>
      </c>
      <c r="H420" s="471"/>
    </row>
    <row r="421" spans="1:8">
      <c r="A421" s="463"/>
      <c r="B421" s="456" t="s">
        <v>25</v>
      </c>
      <c r="C421" s="457" t="s">
        <v>26</v>
      </c>
      <c r="D421" s="463"/>
      <c r="E421" s="464" t="s">
        <v>4202</v>
      </c>
      <c r="F421" s="467" t="s">
        <v>433</v>
      </c>
      <c r="G421" s="468">
        <v>6400</v>
      </c>
      <c r="H421" s="471"/>
    </row>
    <row r="422" spans="1:8">
      <c r="A422" s="463"/>
      <c r="B422" s="456" t="s">
        <v>25</v>
      </c>
      <c r="C422" s="457" t="s">
        <v>26</v>
      </c>
      <c r="D422" s="463"/>
      <c r="E422" s="464" t="s">
        <v>4203</v>
      </c>
      <c r="F422" s="467" t="s">
        <v>433</v>
      </c>
      <c r="G422" s="468">
        <v>8700</v>
      </c>
      <c r="H422" s="471"/>
    </row>
    <row r="423" spans="1:8">
      <c r="A423" s="463"/>
      <c r="B423" s="456" t="s">
        <v>25</v>
      </c>
      <c r="C423" s="457" t="s">
        <v>26</v>
      </c>
      <c r="D423" s="463"/>
      <c r="E423" s="464" t="s">
        <v>4204</v>
      </c>
      <c r="F423" s="467" t="s">
        <v>433</v>
      </c>
      <c r="G423" s="468">
        <v>11300</v>
      </c>
      <c r="H423" s="471"/>
    </row>
    <row r="424" spans="1:8">
      <c r="A424" s="463"/>
      <c r="B424" s="456" t="s">
        <v>25</v>
      </c>
      <c r="C424" s="457" t="s">
        <v>26</v>
      </c>
      <c r="D424" s="463"/>
      <c r="E424" s="464" t="s">
        <v>4205</v>
      </c>
      <c r="F424" s="467" t="s">
        <v>433</v>
      </c>
      <c r="G424" s="468">
        <v>15000</v>
      </c>
      <c r="H424" s="471"/>
    </row>
    <row r="425" spans="1:8">
      <c r="A425" s="463"/>
      <c r="B425" s="456" t="s">
        <v>25</v>
      </c>
      <c r="C425" s="457" t="s">
        <v>26</v>
      </c>
      <c r="D425" s="463"/>
      <c r="E425" s="464" t="s">
        <v>4206</v>
      </c>
      <c r="F425" s="467" t="s">
        <v>433</v>
      </c>
      <c r="G425" s="468">
        <v>18100</v>
      </c>
      <c r="H425" s="471"/>
    </row>
    <row r="426" spans="1:8">
      <c r="A426" s="463"/>
      <c r="B426" s="456" t="s">
        <v>25</v>
      </c>
      <c r="C426" s="457" t="s">
        <v>26</v>
      </c>
      <c r="D426" s="463"/>
      <c r="E426" s="464" t="s">
        <v>253</v>
      </c>
      <c r="F426" s="467" t="s">
        <v>78</v>
      </c>
      <c r="G426" s="468">
        <v>48000</v>
      </c>
      <c r="H426" s="471"/>
    </row>
    <row r="427" spans="1:8">
      <c r="A427" s="463"/>
      <c r="B427" s="456" t="s">
        <v>25</v>
      </c>
      <c r="C427" s="457" t="s">
        <v>26</v>
      </c>
      <c r="D427" s="463"/>
      <c r="E427" s="464" t="s">
        <v>309</v>
      </c>
      <c r="F427" s="467" t="s">
        <v>78</v>
      </c>
      <c r="G427" s="468">
        <v>9700</v>
      </c>
      <c r="H427" s="471"/>
    </row>
    <row r="428" spans="1:8" s="432" customFormat="1">
      <c r="A428" s="463"/>
      <c r="B428" s="456" t="s">
        <v>25</v>
      </c>
      <c r="C428" s="457" t="s">
        <v>26</v>
      </c>
      <c r="D428" s="463"/>
      <c r="E428" s="464" t="s">
        <v>328</v>
      </c>
      <c r="F428" s="467" t="s">
        <v>78</v>
      </c>
      <c r="G428" s="468">
        <v>66000</v>
      </c>
      <c r="H428" s="471"/>
    </row>
    <row r="429" spans="1:8" s="432" customFormat="1">
      <c r="A429" s="463"/>
      <c r="B429" s="456" t="s">
        <v>25</v>
      </c>
      <c r="C429" s="457" t="s">
        <v>26</v>
      </c>
      <c r="D429" s="463"/>
      <c r="E429" s="464" t="s">
        <v>241</v>
      </c>
      <c r="F429" s="467" t="s">
        <v>78</v>
      </c>
      <c r="G429" s="468">
        <v>13800</v>
      </c>
      <c r="H429" s="471"/>
    </row>
    <row r="430" spans="1:8" s="432" customFormat="1">
      <c r="A430" s="463"/>
      <c r="B430" s="456" t="s">
        <v>25</v>
      </c>
      <c r="C430" s="457" t="s">
        <v>26</v>
      </c>
      <c r="D430" s="463"/>
      <c r="E430" s="464" t="s">
        <v>245</v>
      </c>
      <c r="F430" s="467" t="s">
        <v>78</v>
      </c>
      <c r="G430" s="468">
        <v>16800</v>
      </c>
      <c r="H430" s="471"/>
    </row>
    <row r="431" spans="1:8" s="432" customFormat="1">
      <c r="A431" s="463"/>
      <c r="B431" s="456" t="s">
        <v>25</v>
      </c>
      <c r="C431" s="457" t="s">
        <v>26</v>
      </c>
      <c r="D431" s="463"/>
      <c r="E431" s="464" t="s">
        <v>247</v>
      </c>
      <c r="F431" s="467" t="s">
        <v>78</v>
      </c>
      <c r="G431" s="468">
        <v>34200</v>
      </c>
      <c r="H431" s="471"/>
    </row>
    <row r="432" spans="1:8" s="432" customFormat="1">
      <c r="A432" s="463"/>
      <c r="B432" s="456" t="s">
        <v>25</v>
      </c>
      <c r="C432" s="457" t="s">
        <v>26</v>
      </c>
      <c r="D432" s="463"/>
      <c r="E432" s="464" t="s">
        <v>141</v>
      </c>
      <c r="F432" s="467" t="s">
        <v>78</v>
      </c>
      <c r="G432" s="468">
        <v>21000</v>
      </c>
      <c r="H432" s="471"/>
    </row>
    <row r="433" spans="1:8" s="432" customFormat="1">
      <c r="A433" s="469"/>
      <c r="B433" s="456" t="s">
        <v>25</v>
      </c>
      <c r="C433" s="457" t="s">
        <v>26</v>
      </c>
      <c r="D433" s="469"/>
      <c r="E433" s="469" t="s">
        <v>4207</v>
      </c>
      <c r="F433" s="467" t="s">
        <v>53</v>
      </c>
      <c r="G433" s="468">
        <v>22000</v>
      </c>
      <c r="H433" s="471"/>
    </row>
    <row r="434" spans="1:8" s="432" customFormat="1">
      <c r="A434" s="469"/>
      <c r="B434" s="456" t="s">
        <v>25</v>
      </c>
      <c r="C434" s="457" t="s">
        <v>26</v>
      </c>
      <c r="D434" s="469"/>
      <c r="E434" s="469" t="s">
        <v>4208</v>
      </c>
      <c r="F434" s="467" t="s">
        <v>53</v>
      </c>
      <c r="G434" s="468">
        <v>34000</v>
      </c>
      <c r="H434" s="471"/>
    </row>
    <row r="435" spans="1:8" ht="46.5">
      <c r="A435" s="469"/>
      <c r="B435" s="456" t="s">
        <v>25</v>
      </c>
      <c r="C435" s="457" t="s">
        <v>26</v>
      </c>
      <c r="D435" s="469"/>
      <c r="E435" s="469" t="s">
        <v>4209</v>
      </c>
      <c r="F435" s="467" t="s">
        <v>53</v>
      </c>
      <c r="G435" s="468">
        <v>85000</v>
      </c>
      <c r="H435" s="471"/>
    </row>
    <row r="436" spans="1:8" ht="69.75">
      <c r="A436" s="469"/>
      <c r="B436" s="456" t="s">
        <v>25</v>
      </c>
      <c r="C436" s="457" t="s">
        <v>26</v>
      </c>
      <c r="D436" s="469"/>
      <c r="E436" s="469" t="s">
        <v>4210</v>
      </c>
      <c r="F436" s="467" t="s">
        <v>53</v>
      </c>
      <c r="G436" s="468">
        <v>110000</v>
      </c>
      <c r="H436" s="471"/>
    </row>
    <row r="437" spans="1:8" ht="46.5">
      <c r="A437" s="469"/>
      <c r="B437" s="456" t="s">
        <v>25</v>
      </c>
      <c r="C437" s="457" t="s">
        <v>26</v>
      </c>
      <c r="D437" s="469"/>
      <c r="E437" s="469" t="s">
        <v>4211</v>
      </c>
      <c r="F437" s="467" t="s">
        <v>53</v>
      </c>
      <c r="G437" s="468">
        <v>97000</v>
      </c>
      <c r="H437" s="471"/>
    </row>
    <row r="438" spans="1:8" ht="46.5">
      <c r="A438" s="469"/>
      <c r="B438" s="456" t="s">
        <v>25</v>
      </c>
      <c r="C438" s="457" t="s">
        <v>26</v>
      </c>
      <c r="D438" s="469"/>
      <c r="E438" s="469" t="s">
        <v>4212</v>
      </c>
      <c r="F438" s="467" t="s">
        <v>53</v>
      </c>
      <c r="G438" s="468">
        <v>85000</v>
      </c>
      <c r="H438" s="471"/>
    </row>
    <row r="439" spans="1:8" ht="46.5">
      <c r="A439" s="469"/>
      <c r="B439" s="456" t="s">
        <v>25</v>
      </c>
      <c r="C439" s="457" t="s">
        <v>26</v>
      </c>
      <c r="D439" s="469"/>
      <c r="E439" s="469" t="s">
        <v>4213</v>
      </c>
      <c r="F439" s="467" t="s">
        <v>53</v>
      </c>
      <c r="G439" s="468">
        <v>80000</v>
      </c>
      <c r="H439" s="471"/>
    </row>
    <row r="440" spans="1:8" ht="46.5">
      <c r="A440" s="469"/>
      <c r="B440" s="456" t="s">
        <v>25</v>
      </c>
      <c r="C440" s="457" t="s">
        <v>26</v>
      </c>
      <c r="D440" s="469"/>
      <c r="E440" s="469" t="s">
        <v>312</v>
      </c>
      <c r="F440" s="467" t="s">
        <v>78</v>
      </c>
      <c r="G440" s="468">
        <v>24500</v>
      </c>
      <c r="H440" s="471"/>
    </row>
  </sheetData>
  <autoFilter ref="A1:H440" xr:uid="{00000000-0009-0000-0000-000000000000}"/>
  <mergeCells count="7">
    <mergeCell ref="C110:E110"/>
    <mergeCell ref="C126:E126"/>
    <mergeCell ref="C82:E82"/>
    <mergeCell ref="A2:E2"/>
    <mergeCell ref="A23:E23"/>
    <mergeCell ref="A26:E26"/>
    <mergeCell ref="A30:E30"/>
  </mergeCells>
  <conditionalFormatting sqref="B188 B195 B199 B228 B231:B233 B235 B277 D235 D277 B314:D314 B318:D319 B323:D323 B326:D326 C24:C25 C27:C29 C50:C65 C43:C48 B284:D286 C3:C22 C31:C41 B224:B225 C67:C314 C316:C352 C354:C440">
    <cfRule type="beginsWith" dxfId="345" priority="15" operator="beginsWith" text="พัสดุ">
      <formula>LEFT((E3),LEN("พัสดุ"))=("พัสดุ")</formula>
    </cfRule>
  </conditionalFormatting>
  <conditionalFormatting sqref="B188 B195 B199 B228 B231:B233 B235 B277 B314 B318:B319 B323 B326">
    <cfRule type="beginsWith" dxfId="344" priority="16" operator="beginsWith" text="พัสดุ">
      <formula>LEFT((E188),LEN("พัสดุ"))=("พัสดุ")</formula>
    </cfRule>
  </conditionalFormatting>
  <conditionalFormatting sqref="C123 C140 C175 C184 B188 B195">
    <cfRule type="beginsWith" dxfId="343" priority="30" operator="beginsWith" text="พัสดุ">
      <formula>LEFT((E123),LEN("พัสดุ"))=("พัสดุ")</formula>
    </cfRule>
  </conditionalFormatting>
  <conditionalFormatting sqref="E235 E277 E314 E318:E319 E323 E326 E232:E233 E284:E286">
    <cfRule type="beginsWith" dxfId="342" priority="152" operator="beginsWith" text="พัสดุ">
      <formula>LEFT((#REF!),LEN("พัสดุ"))=("พัสดุ")</formula>
    </cfRule>
  </conditionalFormatting>
  <conditionalFormatting sqref="H140 G284:H286">
    <cfRule type="beginsWith" dxfId="341" priority="160" operator="beginsWith" text="พัสดุ">
      <formula>LEFT((#REF!),LEN("พัสดุ"))=("พัสดุ")</formula>
    </cfRule>
  </conditionalFormatting>
  <conditionalFormatting sqref="H199 H224:H225 H30 H42 H49 H66 H82:H83 H175 H184 H188 H195 G231:H233 G235:H235 G277:H277 G314:H314 G318:G319 G323 G326 G228:H228 H26">
    <cfRule type="beginsWith" dxfId="340" priority="161" operator="beginsWith" text="พัสดุ">
      <formula>LEFT((#REF!),LEN("พัสดุ"))=("พัสดุ")</formula>
    </cfRule>
  </conditionalFormatting>
  <conditionalFormatting sqref="F231:F233 F235 F277 F314 F318:F319 F323 F326 F284:F286">
    <cfRule type="beginsWith" dxfId="339" priority="217" operator="beginsWith" text="พัสดุ">
      <formula>LEFT((H231),LEN("พัสดุ"))=("พัสดุ")</formula>
    </cfRule>
  </conditionalFormatting>
  <conditionalFormatting sqref="A42 A49 A66">
    <cfRule type="beginsWith" dxfId="338" priority="219" operator="beginsWith" text="พัสดุ">
      <formula>LEFT((F42),LEN("พัสดุ"))=("พัสดุ")</formula>
    </cfRule>
  </conditionalFormatting>
  <conditionalFormatting sqref="C315">
    <cfRule type="beginsWith" dxfId="337" priority="4" operator="beginsWith" text="พัสดุ">
      <formula>LEFT((F315),LEN("พัสดุ"))=("พัสดุ")</formula>
    </cfRule>
  </conditionalFormatting>
  <conditionalFormatting sqref="C353">
    <cfRule type="beginsWith" dxfId="336" priority="1" operator="beginsWith" text="พัสดุ">
      <formula>LEFT((F353),LEN("พัสดุ"))=("พัสดุ")</formula>
    </cfRule>
  </conditionalFormatting>
  <dataValidations count="1">
    <dataValidation type="list" allowBlank="1" sqref="B24:B25 B27:B29 B43:B48 B50:B65 B175:B177 B216:B217 B219:B220 B305 B307:B308 B310:B312 B223 B165:B173 B185:B187 B111:B125 B268:B273 B314 B3:B22 B179:B183 B31:B41 B67:B81 B83:B109 B127:B163 B189:B214 B225:B266 B275:B303" xr:uid="{00000000-0002-0000-0000-000000000000}">
      <formula1>"กวก.ฯ,กอค.ฯ,กสน.ฯ,กรง.ฯ,กดก.ฯ,กปภ.ฯ,กฟฟ.ฯ,ชย.ทอ."</formula1>
    </dataValidation>
  </dataValidations>
  <printOptions horizontalCentered="1" gridLines="1"/>
  <pageMargins left="0.23622047244094499" right="0.23622047244094499" top="0.74803149606299202" bottom="0.35433070866141703" header="0.31496062992126" footer="0.31496062992126"/>
  <pageSetup paperSize="9" scale="70" fitToHeight="0" pageOrder="overThenDown" orientation="portrait" cellComments="atEnd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fitToPage="1"/>
  </sheetPr>
  <dimension ref="A1:AA408"/>
  <sheetViews>
    <sheetView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G2" sqref="G2"/>
    </sheetView>
  </sheetViews>
  <sheetFormatPr defaultColWidth="14.42578125" defaultRowHeight="15.75" customHeight="1"/>
  <cols>
    <col min="1" max="1" width="19" hidden="1" customWidth="1"/>
    <col min="2" max="2" width="12" customWidth="1"/>
    <col min="3" max="3" width="10.85546875" customWidth="1"/>
    <col min="4" max="4" width="15.140625" customWidth="1"/>
    <col min="5" max="5" width="6.85546875" customWidth="1"/>
    <col min="6" max="6" width="57.42578125" customWidth="1"/>
    <col min="7" max="7" width="10.5703125" customWidth="1"/>
    <col min="8" max="8" width="10.7109375" customWidth="1"/>
    <col min="9" max="9" width="10.85546875" hidden="1" customWidth="1"/>
    <col min="10" max="10" width="15.5703125" hidden="1" customWidth="1"/>
    <col min="11" max="11" width="12.7109375" hidden="1" customWidth="1"/>
    <col min="12" max="12" width="46.7109375" hidden="1" customWidth="1"/>
    <col min="13" max="13" width="42" hidden="1" customWidth="1"/>
    <col min="14" max="19" width="13.28515625" hidden="1" customWidth="1"/>
    <col min="20" max="21" width="8.5703125" hidden="1" customWidth="1"/>
    <col min="22" max="22" width="10" hidden="1" customWidth="1"/>
    <col min="23" max="23" width="12.5703125" hidden="1" customWidth="1"/>
    <col min="24" max="25" width="10.42578125" hidden="1" customWidth="1"/>
    <col min="26" max="27" width="13.28515625" hidden="1" customWidth="1"/>
  </cols>
  <sheetData>
    <row r="1" spans="1:27" ht="36.75" customHeight="1">
      <c r="A1" s="112" t="s">
        <v>0</v>
      </c>
      <c r="B1" s="112" t="s">
        <v>1</v>
      </c>
      <c r="C1" s="112" t="s">
        <v>2</v>
      </c>
      <c r="D1" s="112" t="s">
        <v>3</v>
      </c>
      <c r="E1" s="112" t="s">
        <v>4</v>
      </c>
      <c r="F1" s="112" t="s">
        <v>5</v>
      </c>
      <c r="G1" s="113" t="s">
        <v>6</v>
      </c>
      <c r="H1" s="113" t="s">
        <v>7</v>
      </c>
      <c r="I1" s="114" t="s">
        <v>6</v>
      </c>
      <c r="J1" s="113" t="s">
        <v>8</v>
      </c>
      <c r="K1" s="115" t="s">
        <v>9</v>
      </c>
      <c r="L1" s="115" t="s">
        <v>10</v>
      </c>
      <c r="M1" s="112" t="s">
        <v>11</v>
      </c>
      <c r="N1" s="116" t="s">
        <v>12</v>
      </c>
      <c r="O1" s="116" t="s">
        <v>13</v>
      </c>
      <c r="P1" s="116" t="s">
        <v>14</v>
      </c>
      <c r="Q1" s="116" t="s">
        <v>15</v>
      </c>
      <c r="R1" s="116" t="s">
        <v>16</v>
      </c>
      <c r="S1" s="116" t="s">
        <v>17</v>
      </c>
      <c r="T1" s="114" t="s">
        <v>18</v>
      </c>
      <c r="U1" s="114" t="s">
        <v>19</v>
      </c>
      <c r="V1" s="114" t="s">
        <v>20</v>
      </c>
      <c r="W1" s="112" t="s">
        <v>20</v>
      </c>
      <c r="X1" s="112" t="s">
        <v>21</v>
      </c>
      <c r="Y1" s="112" t="s">
        <v>22</v>
      </c>
      <c r="Z1" s="112" t="s">
        <v>23</v>
      </c>
      <c r="AA1" s="112"/>
    </row>
    <row r="2" spans="1:27" ht="18.75">
      <c r="A2" s="117"/>
      <c r="B2" s="118">
        <v>2300</v>
      </c>
      <c r="C2" s="117"/>
      <c r="D2" s="117" t="str">
        <f>"พัสดุ"&amp; VLOOKUP(V2,'เลขSpec.2 ตัวแรก'!$A$2:$B408,2,FALSE)&amp; " จำนวน "&amp;W2&amp;" รายการ"</f>
        <v>พัสดุหมวด 23 ยานยนต์ รถพ่วงและจักรยาน จำนวน 15 รายการ</v>
      </c>
      <c r="E2" s="117"/>
      <c r="F2" s="117"/>
      <c r="G2" s="117"/>
      <c r="H2" s="119"/>
      <c r="I2" s="118"/>
      <c r="J2" s="118"/>
      <c r="K2" s="117"/>
      <c r="L2" s="117"/>
      <c r="M2" s="117"/>
      <c r="N2" s="120"/>
      <c r="O2" s="117"/>
      <c r="P2" s="117"/>
      <c r="Q2" s="117"/>
      <c r="R2" s="117"/>
      <c r="S2" s="117"/>
      <c r="T2" s="119"/>
      <c r="U2" s="118"/>
      <c r="V2" s="118" t="str">
        <f>LEFT(B2, SEARCH("",B2,2))</f>
        <v>23</v>
      </c>
      <c r="W2" s="117">
        <f>COUNTIF($V$2:$V$286,V2)-1</f>
        <v>15</v>
      </c>
      <c r="X2" s="117"/>
      <c r="Y2" s="117"/>
      <c r="Z2" s="117"/>
      <c r="AA2" s="117"/>
    </row>
    <row r="3" spans="1:27" ht="18.75">
      <c r="A3" s="88"/>
      <c r="B3" s="121">
        <v>2320</v>
      </c>
      <c r="C3" s="121" t="s">
        <v>37</v>
      </c>
      <c r="D3" s="88" t="s">
        <v>38</v>
      </c>
      <c r="E3" s="121">
        <v>59</v>
      </c>
      <c r="F3" s="46" t="s">
        <v>56</v>
      </c>
      <c r="G3" s="26" t="s">
        <v>28</v>
      </c>
      <c r="H3" s="122">
        <v>3900000</v>
      </c>
      <c r="I3" s="123"/>
      <c r="J3" s="124"/>
      <c r="K3" s="125"/>
      <c r="L3" s="125"/>
      <c r="M3" s="46"/>
      <c r="N3" s="126"/>
      <c r="O3" s="126"/>
      <c r="P3" s="126"/>
      <c r="Q3" s="126"/>
      <c r="R3" s="126"/>
      <c r="S3" s="126"/>
      <c r="T3" s="128"/>
      <c r="U3" s="128">
        <f>E3+T3-2+2500</f>
        <v>2557</v>
      </c>
      <c r="V3" s="129" t="str">
        <f>LEFT(B3, SEARCH("",B3,2))</f>
        <v>23</v>
      </c>
      <c r="W3" s="121">
        <f>COUNTIF($V$4:$V$286,V3)-1</f>
        <v>13</v>
      </c>
      <c r="X3" s="121"/>
      <c r="Y3" s="121"/>
      <c r="Z3" s="121"/>
      <c r="AA3" s="121"/>
    </row>
    <row r="4" spans="1:27" ht="18.75">
      <c r="A4" s="88"/>
      <c r="B4" s="121">
        <v>2320</v>
      </c>
      <c r="C4" s="121" t="s">
        <v>37</v>
      </c>
      <c r="D4" s="88" t="s">
        <v>54</v>
      </c>
      <c r="E4" s="121">
        <v>60</v>
      </c>
      <c r="F4" s="46" t="s">
        <v>55</v>
      </c>
      <c r="G4" s="26" t="s">
        <v>28</v>
      </c>
      <c r="H4" s="122">
        <v>8100000</v>
      </c>
      <c r="I4" s="123"/>
      <c r="J4" s="130" t="str">
        <f>HYPERLINK("https://drive.google.com/open?id=0B2vBTVEfSzItZzBYV2cyTGtJLTA","2320")</f>
        <v>2320</v>
      </c>
      <c r="K4" s="125"/>
      <c r="L4" s="125"/>
      <c r="M4" s="46"/>
      <c r="N4" s="126"/>
      <c r="O4" s="126"/>
      <c r="P4" s="126"/>
      <c r="Q4" s="126"/>
      <c r="R4" s="126"/>
      <c r="S4" s="126"/>
      <c r="T4" s="128"/>
      <c r="U4" s="128">
        <f>E4+T4-2+2500</f>
        <v>2558</v>
      </c>
      <c r="V4" s="129" t="str">
        <f>LEFT(B4, SEARCH("",B4,2))</f>
        <v>23</v>
      </c>
      <c r="W4" s="121">
        <f>COUNTIF($V$4:$V$286,V4)-1</f>
        <v>13</v>
      </c>
      <c r="X4" s="121"/>
      <c r="Y4" s="121"/>
      <c r="Z4" s="121"/>
      <c r="AA4" s="121"/>
    </row>
    <row r="5" spans="1:27" ht="18.75">
      <c r="A5" s="88"/>
      <c r="B5" s="121">
        <v>2320</v>
      </c>
      <c r="C5" s="121" t="s">
        <v>37</v>
      </c>
      <c r="D5" s="88" t="s">
        <v>59</v>
      </c>
      <c r="E5" s="121">
        <v>59</v>
      </c>
      <c r="F5" s="46" t="s">
        <v>60</v>
      </c>
      <c r="G5" s="26" t="s">
        <v>28</v>
      </c>
      <c r="H5" s="122">
        <v>3210000</v>
      </c>
      <c r="I5" s="123"/>
      <c r="J5" s="130" t="str">
        <f>HYPERLINK("https://drive.google.com/open?id=0B2vBTVEfSzItVDBzc3RwZ2F5SGM","2320")</f>
        <v>2320</v>
      </c>
      <c r="K5" s="125"/>
      <c r="L5" s="125"/>
      <c r="M5" s="46"/>
      <c r="N5" s="126"/>
      <c r="O5" s="126"/>
      <c r="P5" s="126"/>
      <c r="Q5" s="126"/>
      <c r="R5" s="126"/>
      <c r="S5" s="126"/>
      <c r="T5" s="128"/>
      <c r="U5" s="128">
        <f>E5+T5-2+2500</f>
        <v>2557</v>
      </c>
      <c r="V5" s="129" t="str">
        <f>LEFT(B5, SEARCH("",B5,2))</f>
        <v>23</v>
      </c>
      <c r="W5" s="121">
        <f>COUNTIF($V$4:$V$286,V5)-1</f>
        <v>13</v>
      </c>
      <c r="X5" s="121"/>
      <c r="Y5" s="121"/>
      <c r="Z5" s="121"/>
      <c r="AA5" s="121"/>
    </row>
    <row r="6" spans="1:27" ht="18.75">
      <c r="A6" s="88"/>
      <c r="B6" s="121">
        <v>2320</v>
      </c>
      <c r="C6" s="121" t="s">
        <v>63</v>
      </c>
      <c r="D6" s="121" t="s">
        <v>64</v>
      </c>
      <c r="E6" s="121">
        <v>62</v>
      </c>
      <c r="F6" s="46" t="s">
        <v>69</v>
      </c>
      <c r="G6" s="26" t="s">
        <v>28</v>
      </c>
      <c r="H6" s="122">
        <v>2100000</v>
      </c>
      <c r="I6" s="123"/>
      <c r="J6" s="131" t="str">
        <f>HYPERLINK("https://drive.google.com/open?id=1oMKRFMH71WdjXDMeBa5XwWkGBcXYuTSH","2320")</f>
        <v>2320</v>
      </c>
      <c r="K6" s="125"/>
      <c r="L6" s="125"/>
      <c r="M6" s="46"/>
      <c r="N6" s="126"/>
      <c r="O6" s="126"/>
      <c r="P6" s="126"/>
      <c r="Q6" s="126"/>
      <c r="R6" s="126"/>
      <c r="S6" s="126"/>
      <c r="T6" s="128"/>
      <c r="U6" s="128"/>
      <c r="V6" s="129"/>
      <c r="W6" s="121"/>
      <c r="X6" s="121"/>
      <c r="Y6" s="121"/>
      <c r="Z6" s="121"/>
      <c r="AA6" s="121"/>
    </row>
    <row r="7" spans="1:27" ht="18.75">
      <c r="A7" s="88"/>
      <c r="B7" s="121">
        <v>2320</v>
      </c>
      <c r="C7" s="121" t="s">
        <v>63</v>
      </c>
      <c r="D7" s="121" t="s">
        <v>81</v>
      </c>
      <c r="E7" s="121">
        <v>61</v>
      </c>
      <c r="F7" s="46" t="s">
        <v>82</v>
      </c>
      <c r="G7" s="26" t="s">
        <v>28</v>
      </c>
      <c r="H7" s="122">
        <v>12000000</v>
      </c>
      <c r="I7" s="123"/>
      <c r="J7" s="130" t="str">
        <f>HYPERLINK("https://drive.google.com/open?id=1tbmxLDs2XdlTjG_MbgoWNjMI-uWEYO6s","2320")</f>
        <v>2320</v>
      </c>
      <c r="K7" s="125"/>
      <c r="L7" s="125"/>
      <c r="M7" s="46"/>
      <c r="N7" s="126"/>
      <c r="O7" s="126"/>
      <c r="P7" s="126"/>
      <c r="Q7" s="126"/>
      <c r="R7" s="126"/>
      <c r="S7" s="126"/>
      <c r="T7" s="128"/>
      <c r="U7" s="128"/>
      <c r="V7" s="129" t="str">
        <f t="shared" ref="V7:V13" si="0">LEFT(B7, SEARCH("",B7,2))</f>
        <v>23</v>
      </c>
      <c r="W7" s="121">
        <f t="shared" ref="W7:W13" si="1">COUNTIF($V$4:$V$286,V7)-1</f>
        <v>13</v>
      </c>
      <c r="X7" s="121"/>
      <c r="Y7" s="121"/>
      <c r="Z7" s="121"/>
      <c r="AA7" s="121"/>
    </row>
    <row r="8" spans="1:27" ht="37.5">
      <c r="A8" s="88"/>
      <c r="B8" s="121">
        <v>2320</v>
      </c>
      <c r="C8" s="121" t="s">
        <v>63</v>
      </c>
      <c r="D8" s="88" t="s">
        <v>89</v>
      </c>
      <c r="E8" s="121">
        <v>56</v>
      </c>
      <c r="F8" s="46" t="s">
        <v>90</v>
      </c>
      <c r="G8" s="26" t="s">
        <v>28</v>
      </c>
      <c r="H8" s="122">
        <v>2800000</v>
      </c>
      <c r="I8" s="123"/>
      <c r="J8" s="130" t="str">
        <f>HYPERLINK("https://drive.google.com/open?id=0B2rLR4BADrBtN1BLSnNrSHR1SUE","2320")</f>
        <v>2320</v>
      </c>
      <c r="K8" s="125"/>
      <c r="L8" s="125"/>
      <c r="M8" s="46"/>
      <c r="N8" s="126"/>
      <c r="O8" s="126"/>
      <c r="P8" s="126"/>
      <c r="Q8" s="126"/>
      <c r="R8" s="126"/>
      <c r="S8" s="126"/>
      <c r="T8" s="128">
        <v>20</v>
      </c>
      <c r="U8" s="128">
        <f t="shared" ref="U8:U13" si="2">E8+T8-2+2500</f>
        <v>2574</v>
      </c>
      <c r="V8" s="129" t="str">
        <f t="shared" si="0"/>
        <v>23</v>
      </c>
      <c r="W8" s="121">
        <f t="shared" si="1"/>
        <v>13</v>
      </c>
      <c r="X8" s="121"/>
      <c r="Y8" s="121"/>
      <c r="Z8" s="121"/>
      <c r="AA8" s="121"/>
    </row>
    <row r="9" spans="1:27" ht="37.5">
      <c r="A9" s="88"/>
      <c r="B9" s="121">
        <v>2320</v>
      </c>
      <c r="C9" s="121" t="s">
        <v>63</v>
      </c>
      <c r="D9" s="88" t="s">
        <v>95</v>
      </c>
      <c r="E9" s="121">
        <v>56</v>
      </c>
      <c r="F9" s="46" t="s">
        <v>96</v>
      </c>
      <c r="G9" s="26" t="s">
        <v>28</v>
      </c>
      <c r="H9" s="122">
        <v>2900000</v>
      </c>
      <c r="I9" s="123"/>
      <c r="J9" s="130" t="str">
        <f>HYPERLINK("https://drive.google.com/open?id=0B2rLR4BADrBtallTanYxUTQ0eXc","2320")</f>
        <v>2320</v>
      </c>
      <c r="K9" s="125"/>
      <c r="L9" s="125"/>
      <c r="M9" s="46"/>
      <c r="N9" s="126"/>
      <c r="O9" s="126"/>
      <c r="P9" s="126"/>
      <c r="Q9" s="126"/>
      <c r="R9" s="126"/>
      <c r="S9" s="126"/>
      <c r="T9" s="128">
        <v>20</v>
      </c>
      <c r="U9" s="128">
        <f t="shared" si="2"/>
        <v>2574</v>
      </c>
      <c r="V9" s="129" t="str">
        <f t="shared" si="0"/>
        <v>23</v>
      </c>
      <c r="W9" s="121">
        <f t="shared" si="1"/>
        <v>13</v>
      </c>
      <c r="X9" s="121"/>
      <c r="Y9" s="121"/>
      <c r="Z9" s="121"/>
      <c r="AA9" s="121"/>
    </row>
    <row r="10" spans="1:27" ht="18.75">
      <c r="A10" s="88"/>
      <c r="B10" s="121">
        <v>2320</v>
      </c>
      <c r="C10" s="121" t="s">
        <v>63</v>
      </c>
      <c r="D10" s="88" t="s">
        <v>99</v>
      </c>
      <c r="E10" s="121">
        <v>56</v>
      </c>
      <c r="F10" s="46" t="s">
        <v>100</v>
      </c>
      <c r="G10" s="26" t="s">
        <v>28</v>
      </c>
      <c r="H10" s="122">
        <v>6500000</v>
      </c>
      <c r="I10" s="123"/>
      <c r="J10" s="130" t="str">
        <f>HYPERLINK("https://drive.google.com/open?id=0B2rLR4BADrBtbmVab1pNaDZHcFU","2320")</f>
        <v>2320</v>
      </c>
      <c r="K10" s="125"/>
      <c r="L10" s="125"/>
      <c r="M10" s="46"/>
      <c r="N10" s="126"/>
      <c r="O10" s="126"/>
      <c r="P10" s="126"/>
      <c r="Q10" s="126"/>
      <c r="R10" s="126"/>
      <c r="S10" s="126"/>
      <c r="T10" s="128">
        <v>20</v>
      </c>
      <c r="U10" s="128">
        <f t="shared" si="2"/>
        <v>2574</v>
      </c>
      <c r="V10" s="129" t="str">
        <f t="shared" si="0"/>
        <v>23</v>
      </c>
      <c r="W10" s="121">
        <f t="shared" si="1"/>
        <v>13</v>
      </c>
      <c r="X10" s="121"/>
      <c r="Y10" s="121"/>
      <c r="Z10" s="121"/>
      <c r="AA10" s="121"/>
    </row>
    <row r="11" spans="1:27" ht="18.75">
      <c r="A11" s="88"/>
      <c r="B11" s="121">
        <v>2320</v>
      </c>
      <c r="C11" s="121" t="s">
        <v>63</v>
      </c>
      <c r="D11" s="88" t="s">
        <v>105</v>
      </c>
      <c r="E11" s="121">
        <v>58</v>
      </c>
      <c r="F11" s="46" t="s">
        <v>106</v>
      </c>
      <c r="G11" s="26" t="s">
        <v>28</v>
      </c>
      <c r="H11" s="122">
        <v>4800000</v>
      </c>
      <c r="I11" s="123"/>
      <c r="J11" s="130" t="str">
        <f>HYPERLINK("https://drive.google.com/open?id=0B2vBTVEfSzItN0l1dkZGekVwNmM","2320")</f>
        <v>2320</v>
      </c>
      <c r="K11" s="125"/>
      <c r="L11" s="125"/>
      <c r="M11" s="46"/>
      <c r="N11" s="126"/>
      <c r="O11" s="126"/>
      <c r="P11" s="126"/>
      <c r="Q11" s="126"/>
      <c r="R11" s="126"/>
      <c r="S11" s="126"/>
      <c r="T11" s="128">
        <v>20</v>
      </c>
      <c r="U11" s="128">
        <f t="shared" si="2"/>
        <v>2576</v>
      </c>
      <c r="V11" s="129" t="str">
        <f t="shared" si="0"/>
        <v>23</v>
      </c>
      <c r="W11" s="121">
        <f t="shared" si="1"/>
        <v>13</v>
      </c>
      <c r="X11" s="121"/>
      <c r="Y11" s="121"/>
      <c r="Z11" s="121"/>
      <c r="AA11" s="121"/>
    </row>
    <row r="12" spans="1:27" ht="18.75">
      <c r="A12" s="88"/>
      <c r="B12" s="121">
        <v>2320</v>
      </c>
      <c r="C12" s="121" t="s">
        <v>63</v>
      </c>
      <c r="D12" s="121" t="s">
        <v>109</v>
      </c>
      <c r="E12" s="121">
        <v>54</v>
      </c>
      <c r="F12" s="46" t="s">
        <v>110</v>
      </c>
      <c r="G12" s="26" t="s">
        <v>28</v>
      </c>
      <c r="H12" s="122">
        <v>1100000</v>
      </c>
      <c r="I12" s="123"/>
      <c r="J12" s="130" t="str">
        <f>HYPERLINK("https://drive.google.com/open?id=1d-colTudNLeYNW53-LZTFcfJ5Hj_cb1k","2320")</f>
        <v>2320</v>
      </c>
      <c r="K12" s="125"/>
      <c r="L12" s="125"/>
      <c r="M12" s="46"/>
      <c r="N12" s="126"/>
      <c r="O12" s="126"/>
      <c r="P12" s="126"/>
      <c r="Q12" s="126"/>
      <c r="R12" s="126"/>
      <c r="S12" s="126"/>
      <c r="T12" s="128">
        <v>20</v>
      </c>
      <c r="U12" s="128">
        <f t="shared" si="2"/>
        <v>2572</v>
      </c>
      <c r="V12" s="129" t="str">
        <f t="shared" si="0"/>
        <v>23</v>
      </c>
      <c r="W12" s="121">
        <f t="shared" si="1"/>
        <v>13</v>
      </c>
      <c r="X12" s="121"/>
      <c r="Y12" s="121"/>
      <c r="Z12" s="121"/>
      <c r="AA12" s="121"/>
    </row>
    <row r="13" spans="1:27" ht="18.75">
      <c r="A13" s="88"/>
      <c r="B13" s="121">
        <v>2320</v>
      </c>
      <c r="C13" s="121" t="s">
        <v>63</v>
      </c>
      <c r="D13" s="88" t="s">
        <v>115</v>
      </c>
      <c r="E13" s="121">
        <v>58</v>
      </c>
      <c r="F13" s="46" t="s">
        <v>116</v>
      </c>
      <c r="G13" s="26" t="s">
        <v>28</v>
      </c>
      <c r="H13" s="122">
        <v>1980000</v>
      </c>
      <c r="I13" s="123"/>
      <c r="J13" s="130" t="str">
        <f>HYPERLINK("https://drive.google.com/open?id=0B2vBTVEfSzItQnlzZ2dwSVU3Nm8","2320")</f>
        <v>2320</v>
      </c>
      <c r="K13" s="125"/>
      <c r="L13" s="125"/>
      <c r="M13" s="46"/>
      <c r="N13" s="126"/>
      <c r="O13" s="126"/>
      <c r="P13" s="126"/>
      <c r="Q13" s="126"/>
      <c r="R13" s="126"/>
      <c r="S13" s="126"/>
      <c r="T13" s="128">
        <v>20</v>
      </c>
      <c r="U13" s="128">
        <f t="shared" si="2"/>
        <v>2576</v>
      </c>
      <c r="V13" s="129" t="str">
        <f t="shared" si="0"/>
        <v>23</v>
      </c>
      <c r="W13" s="121">
        <f t="shared" si="1"/>
        <v>13</v>
      </c>
      <c r="X13" s="121"/>
      <c r="Y13" s="121"/>
      <c r="Z13" s="121"/>
      <c r="AA13" s="121"/>
    </row>
    <row r="14" spans="1:27" ht="18.75">
      <c r="A14" s="88"/>
      <c r="B14" s="121">
        <v>2320</v>
      </c>
      <c r="C14" s="121" t="s">
        <v>63</v>
      </c>
      <c r="D14" s="121" t="s">
        <v>119</v>
      </c>
      <c r="E14" s="121">
        <v>62</v>
      </c>
      <c r="F14" s="46" t="s">
        <v>120</v>
      </c>
      <c r="G14" s="26" t="s">
        <v>28</v>
      </c>
      <c r="H14" s="122">
        <v>950000</v>
      </c>
      <c r="I14" s="123"/>
      <c r="J14" s="130" t="str">
        <f>HYPERLINK("https://drive.google.com/open?id=1zhu8FHz5kc6dijTB33dmeY5tfh77gOUh","2320")</f>
        <v>2320</v>
      </c>
      <c r="K14" s="125"/>
      <c r="L14" s="125"/>
      <c r="M14" s="46"/>
      <c r="N14" s="126"/>
      <c r="O14" s="126"/>
      <c r="P14" s="126"/>
      <c r="Q14" s="126"/>
      <c r="R14" s="126"/>
      <c r="S14" s="126"/>
      <c r="T14" s="128"/>
      <c r="U14" s="128"/>
      <c r="V14" s="129"/>
      <c r="W14" s="121"/>
      <c r="X14" s="121"/>
      <c r="Y14" s="121"/>
      <c r="Z14" s="121"/>
      <c r="AA14" s="121"/>
    </row>
    <row r="15" spans="1:27" ht="18.75">
      <c r="A15" s="88"/>
      <c r="B15" s="121">
        <v>2320</v>
      </c>
      <c r="C15" s="121" t="s">
        <v>63</v>
      </c>
      <c r="D15" s="88" t="s">
        <v>125</v>
      </c>
      <c r="E15" s="121">
        <v>58</v>
      </c>
      <c r="F15" s="46" t="s">
        <v>126</v>
      </c>
      <c r="G15" s="26" t="s">
        <v>28</v>
      </c>
      <c r="H15" s="122">
        <v>2400000</v>
      </c>
      <c r="I15" s="123"/>
      <c r="J15" s="130" t="str">
        <f>HYPERLINK("https://drive.google.com/open?id=0B2vBTVEfSzItY3VaX1RxM1BGY00","2320")</f>
        <v>2320</v>
      </c>
      <c r="K15" s="125"/>
      <c r="L15" s="125"/>
      <c r="M15" s="46"/>
      <c r="N15" s="126"/>
      <c r="O15" s="126"/>
      <c r="P15" s="126"/>
      <c r="Q15" s="126"/>
      <c r="R15" s="126"/>
      <c r="S15" s="126"/>
      <c r="T15" s="128">
        <v>10</v>
      </c>
      <c r="U15" s="128">
        <f>E15+T15-2+2500</f>
        <v>2566</v>
      </c>
      <c r="V15" s="129" t="str">
        <f>LEFT(B15, SEARCH("",B15,2))</f>
        <v>23</v>
      </c>
      <c r="W15" s="121">
        <f>COUNTIF($V$4:$V$286,V15)-1</f>
        <v>13</v>
      </c>
      <c r="X15" s="121"/>
      <c r="Y15" s="121"/>
      <c r="Z15" s="121"/>
      <c r="AA15" s="121"/>
    </row>
    <row r="16" spans="1:27" ht="18.75">
      <c r="A16" s="88"/>
      <c r="B16" s="121">
        <v>2320</v>
      </c>
      <c r="C16" s="121" t="s">
        <v>63</v>
      </c>
      <c r="D16" s="121" t="s">
        <v>131</v>
      </c>
      <c r="E16" s="121">
        <v>55</v>
      </c>
      <c r="F16" s="46" t="s">
        <v>132</v>
      </c>
      <c r="G16" s="26" t="s">
        <v>28</v>
      </c>
      <c r="H16" s="122">
        <v>2100000</v>
      </c>
      <c r="I16" s="123"/>
      <c r="J16" s="130" t="str">
        <f>HYPERLINK("https://drive.google.com/open?id=0B2rLR4BADrBtOF9UVGxqYzNqUUU","2320")</f>
        <v>2320</v>
      </c>
      <c r="K16" s="125"/>
      <c r="L16" s="125"/>
      <c r="M16" s="46"/>
      <c r="N16" s="126"/>
      <c r="O16" s="126"/>
      <c r="P16" s="126"/>
      <c r="Q16" s="126"/>
      <c r="R16" s="126"/>
      <c r="S16" s="126"/>
      <c r="T16" s="128">
        <v>20</v>
      </c>
      <c r="U16" s="128">
        <f>E16+T16-2+2500</f>
        <v>2573</v>
      </c>
      <c r="V16" s="129" t="str">
        <f>LEFT(B16, SEARCH("",B16,2))</f>
        <v>23</v>
      </c>
      <c r="W16" s="121">
        <f>COUNTIF($V$4:$V$286,V16)-1</f>
        <v>13</v>
      </c>
      <c r="X16" s="121"/>
      <c r="Y16" s="121"/>
      <c r="Z16" s="121"/>
      <c r="AA16" s="121"/>
    </row>
    <row r="17" spans="1:27" ht="18.75">
      <c r="A17" s="88"/>
      <c r="B17" s="121">
        <v>2320</v>
      </c>
      <c r="C17" s="121" t="s">
        <v>63</v>
      </c>
      <c r="D17" s="88" t="s">
        <v>135</v>
      </c>
      <c r="E17" s="121">
        <v>57</v>
      </c>
      <c r="F17" s="46" t="s">
        <v>136</v>
      </c>
      <c r="G17" s="26" t="s">
        <v>28</v>
      </c>
      <c r="H17" s="122">
        <v>982000</v>
      </c>
      <c r="I17" s="123"/>
      <c r="J17" s="130" t="str">
        <f>HYPERLINK("https://drive.google.com/open?id=0B2rLR4BADrBtcnlUNnJwd2Rua3c","2320")</f>
        <v>2320</v>
      </c>
      <c r="K17" s="125"/>
      <c r="L17" s="125"/>
      <c r="M17" s="46"/>
      <c r="N17" s="126"/>
      <c r="O17" s="126"/>
      <c r="P17" s="126"/>
      <c r="Q17" s="126"/>
      <c r="R17" s="126"/>
      <c r="S17" s="126"/>
      <c r="T17" s="128">
        <v>20</v>
      </c>
      <c r="U17" s="128">
        <f>E17+T17-2+2500</f>
        <v>2575</v>
      </c>
      <c r="V17" s="129" t="str">
        <f>LEFT(B17, SEARCH("",B17,2))</f>
        <v>23</v>
      </c>
      <c r="W17" s="121">
        <f>COUNTIF('52-62 (สำหรับ จก.ตรวจเยี่ยม)'!$V$4:$V$286,V17)-1</f>
        <v>13</v>
      </c>
      <c r="X17" s="121"/>
      <c r="Y17" s="121"/>
      <c r="Z17" s="121"/>
      <c r="AA17" s="121"/>
    </row>
    <row r="18" spans="1:27" ht="18.75">
      <c r="A18" s="88"/>
      <c r="B18" s="121">
        <v>2320</v>
      </c>
      <c r="C18" s="121" t="s">
        <v>63</v>
      </c>
      <c r="D18" s="121" t="s">
        <v>144</v>
      </c>
      <c r="E18" s="121">
        <v>62</v>
      </c>
      <c r="F18" s="46" t="s">
        <v>145</v>
      </c>
      <c r="G18" s="26" t="s">
        <v>28</v>
      </c>
      <c r="H18" s="122">
        <v>950000</v>
      </c>
      <c r="I18" s="123"/>
      <c r="J18" s="130" t="str">
        <f>HYPERLINK("https://drive.google.com/open?id=1c9ROm4HUcAc15S4MXmpkFN2sBo4k3rwu","2320")</f>
        <v>2320</v>
      </c>
      <c r="K18" s="125"/>
      <c r="L18" s="125"/>
      <c r="M18" s="46"/>
      <c r="N18" s="126"/>
      <c r="O18" s="126"/>
      <c r="P18" s="126"/>
      <c r="Q18" s="126"/>
      <c r="R18" s="126"/>
      <c r="S18" s="126"/>
      <c r="T18" s="128"/>
      <c r="U18" s="128"/>
      <c r="V18" s="129"/>
      <c r="W18" s="121"/>
      <c r="X18" s="121"/>
      <c r="Y18" s="121"/>
      <c r="Z18" s="121"/>
      <c r="AA18" s="121"/>
    </row>
    <row r="19" spans="1:27" ht="18.75">
      <c r="A19" s="88"/>
      <c r="B19" s="121">
        <v>2320</v>
      </c>
      <c r="C19" s="121" t="s">
        <v>63</v>
      </c>
      <c r="D19" s="88" t="s">
        <v>153</v>
      </c>
      <c r="E19" s="121">
        <v>56</v>
      </c>
      <c r="F19" s="46" t="s">
        <v>154</v>
      </c>
      <c r="G19" s="26" t="s">
        <v>28</v>
      </c>
      <c r="H19" s="122">
        <v>70000000</v>
      </c>
      <c r="I19" s="123"/>
      <c r="J19" s="130" t="str">
        <f>HYPERLINK("https://drive.google.com/open?id=0B2rLR4BADrBtSTVSam9qQ1QwNlE","2320")</f>
        <v>2320</v>
      </c>
      <c r="K19" s="125"/>
      <c r="L19" s="125"/>
      <c r="M19" s="46"/>
      <c r="N19" s="126"/>
      <c r="O19" s="126"/>
      <c r="P19" s="126"/>
      <c r="Q19" s="126"/>
      <c r="R19" s="126"/>
      <c r="S19" s="126"/>
      <c r="T19" s="128">
        <v>20</v>
      </c>
      <c r="U19" s="128">
        <f>E19+T19-2+2500</f>
        <v>2574</v>
      </c>
      <c r="V19" s="129" t="str">
        <f t="shared" ref="V19:V31" si="3">LEFT(B19, SEARCH("",B19,2))</f>
        <v>23</v>
      </c>
      <c r="W19" s="121">
        <f>COUNTIF('52-62 (สำหรับ จก.ตรวจเยี่ยม)'!$V$4:$V$286,V19)-1</f>
        <v>13</v>
      </c>
      <c r="X19" s="121"/>
      <c r="Y19" s="121"/>
      <c r="Z19" s="121"/>
      <c r="AA19" s="121"/>
    </row>
    <row r="20" spans="1:27" ht="18.75">
      <c r="A20" s="88"/>
      <c r="B20" s="121">
        <v>2320</v>
      </c>
      <c r="C20" s="121" t="s">
        <v>63</v>
      </c>
      <c r="D20" s="88" t="s">
        <v>162</v>
      </c>
      <c r="E20" s="121">
        <v>56</v>
      </c>
      <c r="F20" s="46" t="s">
        <v>163</v>
      </c>
      <c r="G20" s="26" t="s">
        <v>28</v>
      </c>
      <c r="H20" s="122">
        <v>45000000</v>
      </c>
      <c r="I20" s="123"/>
      <c r="J20" s="130" t="str">
        <f>HYPERLINK("https://drive.google.com/open?id=0B2rLR4BADrBtR1JUbUVIbHBQdE0","2320")</f>
        <v>2320</v>
      </c>
      <c r="K20" s="125"/>
      <c r="L20" s="125"/>
      <c r="M20" s="46"/>
      <c r="N20" s="126"/>
      <c r="O20" s="126"/>
      <c r="P20" s="126"/>
      <c r="Q20" s="126"/>
      <c r="R20" s="126"/>
      <c r="S20" s="126"/>
      <c r="T20" s="128">
        <v>20</v>
      </c>
      <c r="U20" s="128">
        <f>E20+T20-2+2500</f>
        <v>2574</v>
      </c>
      <c r="V20" s="129" t="str">
        <f t="shared" si="3"/>
        <v>23</v>
      </c>
      <c r="W20" s="121">
        <f>COUNTIF('52-62 (สำหรับ จก.ตรวจเยี่ยม)'!$V$4:$V$286,V20)-1</f>
        <v>13</v>
      </c>
      <c r="X20" s="121"/>
      <c r="Y20" s="121"/>
      <c r="Z20" s="121"/>
      <c r="AA20" s="121"/>
    </row>
    <row r="21" spans="1:27" ht="18.75">
      <c r="A21" s="117"/>
      <c r="B21" s="117">
        <v>2400</v>
      </c>
      <c r="C21" s="120"/>
      <c r="D21" s="117" t="str">
        <f>"พัสดุ"&amp; VLOOKUP(V21,'เลขSpec.2 ตัวแรก'!$A$2:$B$100,2,FALSE)&amp; " จำนวน "&amp;W21&amp;" รายการ"</f>
        <v>พัสดุหมวด 24 รถแทรกเตอร์ จำนวน 2 รายการ</v>
      </c>
      <c r="E21" s="117"/>
      <c r="F21" s="117"/>
      <c r="G21" s="117"/>
      <c r="H21" s="117"/>
      <c r="I21" s="119"/>
      <c r="J21" s="118"/>
      <c r="K21" s="118"/>
      <c r="L21" s="117"/>
      <c r="M21" s="117"/>
      <c r="N21" s="117"/>
      <c r="O21" s="120"/>
      <c r="P21" s="117"/>
      <c r="Q21" s="117"/>
      <c r="R21" s="117"/>
      <c r="S21" s="117"/>
      <c r="T21" s="117"/>
      <c r="U21" s="119"/>
      <c r="V21" s="118" t="str">
        <f t="shared" si="3"/>
        <v>24</v>
      </c>
      <c r="W21" s="118">
        <f>COUNTIF($V$2:$V$286,V21)-1</f>
        <v>2</v>
      </c>
      <c r="X21" s="117"/>
      <c r="Y21" s="24"/>
      <c r="Z21" s="24"/>
      <c r="AA21" s="24"/>
    </row>
    <row r="22" spans="1:27" ht="18.75">
      <c r="A22" s="88"/>
      <c r="B22" s="121">
        <v>2420</v>
      </c>
      <c r="C22" s="121" t="s">
        <v>63</v>
      </c>
      <c r="D22" s="88" t="s">
        <v>172</v>
      </c>
      <c r="E22" s="121">
        <v>56</v>
      </c>
      <c r="F22" s="46" t="s">
        <v>173</v>
      </c>
      <c r="G22" s="26" t="s">
        <v>28</v>
      </c>
      <c r="H22" s="122">
        <v>740000</v>
      </c>
      <c r="I22" s="123"/>
      <c r="J22" s="130" t="str">
        <f>HYPERLINK("https://drive.google.com/open?id=0B2rLR4BADrBtT3gwb3hYWjY3Qzg","2420")</f>
        <v>2420</v>
      </c>
      <c r="K22" s="132" t="str">
        <f>HYPERLINK("https://drive.google.com/drive/folders/0BwQ57SNHxB3BUjRvc3dBRVM3WUk","2420")</f>
        <v>2420</v>
      </c>
      <c r="L22" s="125"/>
      <c r="M22" s="46"/>
      <c r="N22" s="126"/>
      <c r="O22" s="126"/>
      <c r="P22" s="126"/>
      <c r="Q22" s="126"/>
      <c r="R22" s="126"/>
      <c r="S22" s="126"/>
      <c r="T22" s="128">
        <v>20</v>
      </c>
      <c r="U22" s="128">
        <f>E22+T22-2+2500</f>
        <v>2574</v>
      </c>
      <c r="V22" s="129" t="str">
        <f t="shared" si="3"/>
        <v>24</v>
      </c>
      <c r="W22" s="121">
        <f>COUNTIF($V$4:$V$286,V22)-1</f>
        <v>2</v>
      </c>
      <c r="X22" s="121"/>
      <c r="Y22" s="121"/>
      <c r="Z22" s="121"/>
      <c r="AA22" s="121"/>
    </row>
    <row r="23" spans="1:27" ht="37.5">
      <c r="A23" s="88"/>
      <c r="B23" s="121">
        <v>2420</v>
      </c>
      <c r="C23" s="121" t="s">
        <v>63</v>
      </c>
      <c r="D23" s="88" t="s">
        <v>181</v>
      </c>
      <c r="E23" s="121">
        <v>58</v>
      </c>
      <c r="F23" s="46" t="s">
        <v>182</v>
      </c>
      <c r="G23" s="26" t="s">
        <v>28</v>
      </c>
      <c r="H23" s="122">
        <v>1400000</v>
      </c>
      <c r="I23" s="123"/>
      <c r="J23" s="130" t="str">
        <f>HYPERLINK("https://drive.google.com/open?id=0B2rLR4BADrBtTFd4NHpveWVRejQ","2420")</f>
        <v>2420</v>
      </c>
      <c r="K23" s="125"/>
      <c r="L23" s="125"/>
      <c r="M23" s="46"/>
      <c r="N23" s="126"/>
      <c r="O23" s="126"/>
      <c r="P23" s="126"/>
      <c r="Q23" s="126"/>
      <c r="R23" s="126"/>
      <c r="S23" s="126"/>
      <c r="T23" s="128">
        <v>20</v>
      </c>
      <c r="U23" s="128">
        <f>E23+T23-2+2500</f>
        <v>2576</v>
      </c>
      <c r="V23" s="129" t="str">
        <f t="shared" si="3"/>
        <v>24</v>
      </c>
      <c r="W23" s="121">
        <f>COUNTIF($V$4:$V$286,V23)-1</f>
        <v>2</v>
      </c>
      <c r="X23" s="121"/>
      <c r="Y23" s="121"/>
      <c r="Z23" s="121"/>
      <c r="AA23" s="121"/>
    </row>
    <row r="24" spans="1:27" ht="18.75">
      <c r="A24" s="117"/>
      <c r="B24" s="117">
        <v>2700</v>
      </c>
      <c r="C24" s="117"/>
      <c r="D24" s="120" t="str">
        <f>"พัสดุ"&amp; VLOOKUP(V24,'เลขSpec.2 ตัวแรก'!$A$2:$B$100,2,FALSE)&amp; " จำนวน "&amp;W24&amp;" รายการ"</f>
        <v>พัสดุหมวด 27 (ยังไม่กำหนด) จำนวน 0 รายการ</v>
      </c>
      <c r="E24" s="117"/>
      <c r="F24" s="117"/>
      <c r="G24" s="117"/>
      <c r="H24" s="117"/>
      <c r="I24" s="117"/>
      <c r="J24" s="119"/>
      <c r="K24" s="118"/>
      <c r="L24" s="118"/>
      <c r="M24" s="117"/>
      <c r="N24" s="117"/>
      <c r="O24" s="117"/>
      <c r="P24" s="118"/>
      <c r="Q24" s="117"/>
      <c r="R24" s="117"/>
      <c r="S24" s="117"/>
      <c r="T24" s="117"/>
      <c r="U24" s="117"/>
      <c r="V24" s="119" t="str">
        <f t="shared" si="3"/>
        <v>27</v>
      </c>
      <c r="W24" s="118">
        <f>COUNTIF($V$2:$V$286,V24)-1</f>
        <v>0</v>
      </c>
      <c r="X24" s="118"/>
      <c r="Y24" s="121"/>
      <c r="Z24" s="121"/>
      <c r="AA24" s="121"/>
    </row>
    <row r="25" spans="1:27" ht="18.75">
      <c r="A25" s="119"/>
      <c r="B25" s="117">
        <v>3200</v>
      </c>
      <c r="C25" s="117"/>
      <c r="D25" s="117" t="str">
        <f>"พัสดุ"&amp; VLOOKUP(V25,'เลขSpec.2 ตัวแรก'!$A$2:$B$100,2,FALSE)&amp; " จำนวน "&amp;W25&amp;" รายการ"</f>
        <v>พัสดุหมวด 32 เครื่องจักรกลงานไม้และบริภัณฑ์ จำนวน 3 รายการ</v>
      </c>
      <c r="E25" s="118"/>
      <c r="F25" s="117"/>
      <c r="G25" s="117"/>
      <c r="H25" s="117"/>
      <c r="I25" s="117"/>
      <c r="J25" s="117"/>
      <c r="K25" s="119"/>
      <c r="L25" s="119"/>
      <c r="M25" s="119"/>
      <c r="N25" s="117"/>
      <c r="O25" s="117"/>
      <c r="P25" s="117"/>
      <c r="Q25" s="118"/>
      <c r="R25" s="117"/>
      <c r="S25" s="117"/>
      <c r="T25" s="117"/>
      <c r="U25" s="117"/>
      <c r="V25" s="117" t="str">
        <f t="shared" si="3"/>
        <v>32</v>
      </c>
      <c r="W25" s="119">
        <f>COUNTIF($V$2:$V$286,V25)-1</f>
        <v>3</v>
      </c>
      <c r="X25" s="119"/>
      <c r="Y25" s="24"/>
      <c r="Z25" s="24"/>
      <c r="AA25" s="24"/>
    </row>
    <row r="26" spans="1:27" ht="18.75">
      <c r="A26" s="88"/>
      <c r="B26" s="121">
        <v>3220</v>
      </c>
      <c r="C26" s="121" t="s">
        <v>191</v>
      </c>
      <c r="D26" s="88" t="s">
        <v>192</v>
      </c>
      <c r="E26" s="121">
        <v>57</v>
      </c>
      <c r="F26" s="46" t="s">
        <v>193</v>
      </c>
      <c r="G26" s="26" t="s">
        <v>78</v>
      </c>
      <c r="H26" s="122">
        <v>75000</v>
      </c>
      <c r="I26" s="123"/>
      <c r="J26" s="130" t="str">
        <f>HYPERLINK("https://drive.google.com/open?id=0B2rLR4BADrBtc1hxSmw0LUFkX3M","3220")</f>
        <v>3220</v>
      </c>
      <c r="K26" s="132" t="str">
        <f>HYPERLINK("https://drive.google.com/drive/folders/0BwQ57SNHxB3BZjMxMXpBUmxrV0E","3220")</f>
        <v>3220</v>
      </c>
      <c r="L26" s="125"/>
      <c r="M26" s="46"/>
      <c r="N26" s="126"/>
      <c r="O26" s="126"/>
      <c r="P26" s="126"/>
      <c r="Q26" s="126"/>
      <c r="R26" s="126"/>
      <c r="S26" s="126"/>
      <c r="T26" s="128">
        <v>15</v>
      </c>
      <c r="U26" s="128">
        <f>E26+T26-2+2500</f>
        <v>2570</v>
      </c>
      <c r="V26" s="129" t="str">
        <f t="shared" si="3"/>
        <v>32</v>
      </c>
      <c r="W26" s="121">
        <f>COUNTIF('52-62 (สำหรับ จก.ตรวจเยี่ยม)'!$V$4:$V$286,V26)-1</f>
        <v>3</v>
      </c>
      <c r="X26" s="121"/>
      <c r="Y26" s="121"/>
      <c r="Z26" s="121"/>
      <c r="AA26" s="121"/>
    </row>
    <row r="27" spans="1:27" ht="18.75">
      <c r="A27" s="88"/>
      <c r="B27" s="121">
        <v>3220</v>
      </c>
      <c r="C27" s="121" t="s">
        <v>191</v>
      </c>
      <c r="D27" s="88" t="s">
        <v>202</v>
      </c>
      <c r="E27" s="121">
        <v>58</v>
      </c>
      <c r="F27" s="46" t="s">
        <v>203</v>
      </c>
      <c r="G27" s="26" t="s">
        <v>78</v>
      </c>
      <c r="H27" s="122">
        <v>14500</v>
      </c>
      <c r="I27" s="123"/>
      <c r="J27" s="130" t="str">
        <f>HYPERLINK("https://drive.google.com/open?id=0B2vBTVEfSzItWXBaMWdCbkgtMjQ","3220")</f>
        <v>3220</v>
      </c>
      <c r="K27" s="133" t="str">
        <f>HYPERLINK("https://drive.google.com/drive/folders/0BwQ57SNHxB3BZjMxMXpBUmxrV0E","3220")</f>
        <v>3220</v>
      </c>
      <c r="L27" s="134"/>
      <c r="M27" s="46"/>
      <c r="N27" s="126"/>
      <c r="O27" s="126"/>
      <c r="P27" s="126"/>
      <c r="Q27" s="126"/>
      <c r="R27" s="126"/>
      <c r="S27" s="126"/>
      <c r="T27" s="128"/>
      <c r="U27" s="128">
        <f>E27+T27-2+2500</f>
        <v>2556</v>
      </c>
      <c r="V27" s="129" t="str">
        <f t="shared" si="3"/>
        <v>32</v>
      </c>
      <c r="W27" s="121">
        <f>COUNTIF($V$4:$V$286,V27)-1</f>
        <v>3</v>
      </c>
      <c r="X27" s="121"/>
      <c r="Y27" s="121"/>
      <c r="Z27" s="121"/>
      <c r="AA27" s="121"/>
    </row>
    <row r="28" spans="1:27" ht="18.75">
      <c r="A28" s="88"/>
      <c r="B28" s="121">
        <v>3230</v>
      </c>
      <c r="C28" s="121" t="s">
        <v>191</v>
      </c>
      <c r="D28" s="88" t="s">
        <v>208</v>
      </c>
      <c r="E28" s="121">
        <v>57</v>
      </c>
      <c r="F28" s="46" t="s">
        <v>209</v>
      </c>
      <c r="G28" s="26" t="s">
        <v>78</v>
      </c>
      <c r="H28" s="122">
        <v>35000</v>
      </c>
      <c r="I28" s="123"/>
      <c r="J28" s="130" t="str">
        <f>HYPERLINK("https://drive.google.com/open?id=0B2rLR4BADrBtdG1RQTR2QTF5R1E","3230")</f>
        <v>3230</v>
      </c>
      <c r="K28" s="132" t="str">
        <f>HYPERLINK("https://drive.google.com/drive/folders/0BwQ57SNHxB3BdE9oc18tQUktSHc","3230")</f>
        <v>3230</v>
      </c>
      <c r="L28" s="125"/>
      <c r="M28" s="46"/>
      <c r="N28" s="126"/>
      <c r="O28" s="126"/>
      <c r="P28" s="126"/>
      <c r="Q28" s="126"/>
      <c r="R28" s="126"/>
      <c r="S28" s="126"/>
      <c r="T28" s="128">
        <v>15</v>
      </c>
      <c r="U28" s="128">
        <f>E28+T28-2+2500</f>
        <v>2570</v>
      </c>
      <c r="V28" s="129" t="str">
        <f t="shared" si="3"/>
        <v>32</v>
      </c>
      <c r="W28" s="121">
        <f>COUNTIF('52-62 (สำหรับ จก.ตรวจเยี่ยม)'!$V$4:$V$286,V28)-1</f>
        <v>3</v>
      </c>
      <c r="X28" s="121"/>
      <c r="Y28" s="121"/>
      <c r="Z28" s="121"/>
      <c r="AA28" s="121"/>
    </row>
    <row r="29" spans="1:27" ht="18.75">
      <c r="A29" s="117"/>
      <c r="B29" s="117">
        <v>3400</v>
      </c>
      <c r="C29" s="117"/>
      <c r="D29" s="118" t="str">
        <f>"พัสดุ"&amp; VLOOKUP(V29,'เลขSpec.2 ตัวแรก'!$A$2:$B$100,2,FALSE)&amp; " จำนวน "&amp;W29&amp;" รายการ"</f>
        <v>พัสดุหมวด 34 เครื่องจักรกลงานโลหะ จำนวน 10 รายการ</v>
      </c>
      <c r="E29" s="117"/>
      <c r="F29" s="117"/>
      <c r="G29" s="117"/>
      <c r="H29" s="117"/>
      <c r="I29" s="117"/>
      <c r="J29" s="119"/>
      <c r="K29" s="119"/>
      <c r="L29" s="119"/>
      <c r="M29" s="117"/>
      <c r="N29" s="117"/>
      <c r="O29" s="117"/>
      <c r="P29" s="118"/>
      <c r="Q29" s="117"/>
      <c r="R29" s="117"/>
      <c r="S29" s="117"/>
      <c r="T29" s="117"/>
      <c r="U29" s="117"/>
      <c r="V29" s="119" t="str">
        <f t="shared" si="3"/>
        <v>34</v>
      </c>
      <c r="W29" s="119">
        <f>COUNTIF($V$2:$V$286,V29)-1</f>
        <v>10</v>
      </c>
      <c r="X29" s="119"/>
      <c r="Y29" s="121"/>
      <c r="Z29" s="121"/>
      <c r="AA29" s="121"/>
    </row>
    <row r="30" spans="1:27" ht="18.75">
      <c r="A30" s="88"/>
      <c r="B30" s="121">
        <v>3405</v>
      </c>
      <c r="C30" s="121" t="s">
        <v>191</v>
      </c>
      <c r="D30" s="88" t="s">
        <v>220</v>
      </c>
      <c r="E30" s="121">
        <v>52</v>
      </c>
      <c r="F30" s="46" t="s">
        <v>221</v>
      </c>
      <c r="G30" s="26" t="s">
        <v>78</v>
      </c>
      <c r="H30" s="122">
        <v>8600</v>
      </c>
      <c r="I30" s="123"/>
      <c r="J30" s="130" t="str">
        <f>HYPERLINK("https://drive.google.com/open?id=0B2rLR4BADrBtd3R2NnRmbklZelU","3405")</f>
        <v>3405</v>
      </c>
      <c r="K30" s="132" t="str">
        <f>HYPERLINK("https://drive.google.com/drive/folders/0BwQ57SNHxB3BdzY1djNhX3dxdUk","3405")</f>
        <v>3405</v>
      </c>
      <c r="L30" s="125"/>
      <c r="M30" s="46"/>
      <c r="N30" s="126"/>
      <c r="O30" s="126"/>
      <c r="P30" s="126"/>
      <c r="Q30" s="126"/>
      <c r="R30" s="126"/>
      <c r="S30" s="126"/>
      <c r="T30" s="128">
        <v>15</v>
      </c>
      <c r="U30" s="128">
        <f t="shared" ref="U30:U40" si="4">E30+T30-2+2500</f>
        <v>2565</v>
      </c>
      <c r="V30" s="129" t="str">
        <f t="shared" si="3"/>
        <v>34</v>
      </c>
      <c r="W30" s="121">
        <f>COUNTIF('52-62 (สำหรับ จก.ตรวจเยี่ยม)'!$V$4:$V$286,V30)-1</f>
        <v>10</v>
      </c>
      <c r="X30" s="121"/>
      <c r="Y30" s="121"/>
      <c r="Z30" s="121"/>
      <c r="AA30" s="121"/>
    </row>
    <row r="31" spans="1:27" ht="18.75">
      <c r="A31" s="88"/>
      <c r="B31" s="121">
        <v>3413</v>
      </c>
      <c r="C31" s="121" t="s">
        <v>191</v>
      </c>
      <c r="D31" s="88" t="s">
        <v>226</v>
      </c>
      <c r="E31" s="121">
        <v>52</v>
      </c>
      <c r="F31" s="46" t="s">
        <v>227</v>
      </c>
      <c r="G31" s="26" t="s">
        <v>78</v>
      </c>
      <c r="H31" s="122">
        <v>15000</v>
      </c>
      <c r="I31" s="123"/>
      <c r="J31" s="130" t="str">
        <f>HYPERLINK("https://drive.google.com/open?id=0B2rLR4BADrBtdzZfbDc4OUtuZVU","3413")</f>
        <v>3413</v>
      </c>
      <c r="K31" s="132" t="str">
        <f>HYPERLINK("https://drive.google.com/drive/folders/0BwQ57SNHxB3BX0c2ZjdOU3ZsaU0","3413")</f>
        <v>3413</v>
      </c>
      <c r="L31" s="125"/>
      <c r="M31" s="46"/>
      <c r="N31" s="126"/>
      <c r="O31" s="126"/>
      <c r="P31" s="126"/>
      <c r="Q31" s="126"/>
      <c r="R31" s="126"/>
      <c r="S31" s="126"/>
      <c r="T31" s="128">
        <v>15</v>
      </c>
      <c r="U31" s="128">
        <f t="shared" si="4"/>
        <v>2565</v>
      </c>
      <c r="V31" s="129" t="str">
        <f t="shared" si="3"/>
        <v>34</v>
      </c>
      <c r="W31" s="121">
        <f>COUNTIF($V$4:$V$286,V31)-1</f>
        <v>10</v>
      </c>
      <c r="X31" s="121"/>
      <c r="Y31" s="121"/>
      <c r="Z31" s="121"/>
      <c r="AA31" s="121"/>
    </row>
    <row r="32" spans="1:27" ht="18.75">
      <c r="A32" s="88"/>
      <c r="B32" s="121">
        <v>3416</v>
      </c>
      <c r="C32" s="121" t="s">
        <v>157</v>
      </c>
      <c r="D32" s="88" t="s">
        <v>232</v>
      </c>
      <c r="E32" s="121">
        <v>59</v>
      </c>
      <c r="F32" s="46" t="s">
        <v>233</v>
      </c>
      <c r="G32" s="26" t="s">
        <v>78</v>
      </c>
      <c r="H32" s="122">
        <v>550000</v>
      </c>
      <c r="I32" s="123"/>
      <c r="J32" s="130" t="str">
        <f>HYPERLINK("https://drive.google.com/open?id=0B2vBTVEfSzItd1J5b3FLZHlEUk0","3416")</f>
        <v>3416</v>
      </c>
      <c r="K32" s="125"/>
      <c r="L32" s="125"/>
      <c r="M32" s="46"/>
      <c r="N32" s="126"/>
      <c r="O32" s="126"/>
      <c r="P32" s="126"/>
      <c r="Q32" s="126"/>
      <c r="R32" s="126"/>
      <c r="S32" s="126"/>
      <c r="T32" s="135"/>
      <c r="U32" s="135">
        <f t="shared" si="4"/>
        <v>2557</v>
      </c>
      <c r="V32" s="129"/>
      <c r="W32" s="121"/>
      <c r="X32" s="121"/>
      <c r="Y32" s="121"/>
      <c r="Z32" s="121"/>
      <c r="AA32" s="121"/>
    </row>
    <row r="33" spans="1:27" ht="18.75">
      <c r="A33" s="88"/>
      <c r="B33" s="121">
        <v>3431</v>
      </c>
      <c r="C33" s="121" t="s">
        <v>63</v>
      </c>
      <c r="D33" s="88" t="s">
        <v>237</v>
      </c>
      <c r="E33" s="121">
        <v>53</v>
      </c>
      <c r="F33" s="46" t="s">
        <v>239</v>
      </c>
      <c r="G33" s="26" t="s">
        <v>78</v>
      </c>
      <c r="H33" s="122">
        <v>175000</v>
      </c>
      <c r="I33" s="123"/>
      <c r="J33" s="130" t="str">
        <f>HYPERLINK("https://drive.google.com/open?id=0B2rLR4BADrBteHJPbTBnZjJzeGM","3431")</f>
        <v>3431</v>
      </c>
      <c r="K33" s="132" t="str">
        <f>HYPERLINK("https://drive.google.com/drive/folders/0BwQ57SNHxB3BVS1xSXlxWlpXb0E","3431")</f>
        <v>3431</v>
      </c>
      <c r="L33" s="125"/>
      <c r="M33" s="46"/>
      <c r="N33" s="126"/>
      <c r="O33" s="126"/>
      <c r="P33" s="126"/>
      <c r="Q33" s="126"/>
      <c r="R33" s="126"/>
      <c r="S33" s="126"/>
      <c r="T33" s="128">
        <v>15</v>
      </c>
      <c r="U33" s="128">
        <f t="shared" si="4"/>
        <v>2566</v>
      </c>
      <c r="V33" s="129" t="str">
        <f t="shared" ref="V33:V51" si="5">LEFT(B33, SEARCH("",B33,2))</f>
        <v>34</v>
      </c>
      <c r="W33" s="121">
        <f>COUNTIF('52-62 (สำหรับ จก.ตรวจเยี่ยม)'!$V$4:$V$286,V33)-1</f>
        <v>10</v>
      </c>
      <c r="X33" s="121"/>
      <c r="Y33" s="121"/>
      <c r="Z33" s="121"/>
      <c r="AA33" s="121"/>
    </row>
    <row r="34" spans="1:27" ht="18.75">
      <c r="A34" s="88"/>
      <c r="B34" s="121">
        <v>3431</v>
      </c>
      <c r="C34" s="121" t="s">
        <v>157</v>
      </c>
      <c r="D34" s="88" t="s">
        <v>243</v>
      </c>
      <c r="E34" s="121">
        <v>55</v>
      </c>
      <c r="F34" s="46" t="s">
        <v>244</v>
      </c>
      <c r="G34" s="26" t="s">
        <v>78</v>
      </c>
      <c r="H34" s="122">
        <v>35000</v>
      </c>
      <c r="I34" s="123"/>
      <c r="J34" s="130" t="str">
        <f>HYPERLINK("https://drive.google.com/open?id=0B2rLR4BADrBta29mZlgzQ0NlRWc","3431")</f>
        <v>3431</v>
      </c>
      <c r="K34" s="132" t="str">
        <f>HYPERLINK("https://drive.google.com/drive/folders/0BwQ57SNHxB3BVS1xSXlxWlpXb0E","3431")</f>
        <v>3431</v>
      </c>
      <c r="L34" s="125"/>
      <c r="M34" s="46"/>
      <c r="N34" s="126"/>
      <c r="O34" s="126"/>
      <c r="P34" s="126"/>
      <c r="Q34" s="126"/>
      <c r="R34" s="126"/>
      <c r="S34" s="126"/>
      <c r="T34" s="128">
        <v>15</v>
      </c>
      <c r="U34" s="128">
        <f t="shared" si="4"/>
        <v>2568</v>
      </c>
      <c r="V34" s="129" t="str">
        <f t="shared" si="5"/>
        <v>34</v>
      </c>
      <c r="W34" s="121">
        <f>COUNTIF('52-62 (สำหรับ จก.ตรวจเยี่ยม)'!$V$4:$V$286,V34)-1</f>
        <v>10</v>
      </c>
      <c r="X34" s="121"/>
      <c r="Y34" s="121"/>
      <c r="Z34" s="121"/>
      <c r="AA34" s="121"/>
    </row>
    <row r="35" spans="1:27" ht="18.75">
      <c r="A35" s="88"/>
      <c r="B35" s="121">
        <v>3431</v>
      </c>
      <c r="C35" s="121" t="s">
        <v>157</v>
      </c>
      <c r="D35" s="88" t="s">
        <v>248</v>
      </c>
      <c r="E35" s="121">
        <v>54</v>
      </c>
      <c r="F35" s="46" t="s">
        <v>250</v>
      </c>
      <c r="G35" s="26" t="s">
        <v>78</v>
      </c>
      <c r="H35" s="122">
        <v>14000</v>
      </c>
      <c r="I35" s="123"/>
      <c r="J35" s="130" t="str">
        <f>HYPERLINK("https://drive.google.com/open?id=0B2rLR4BADrBtNk1ISXg0N29SU0E","3431")</f>
        <v>3431</v>
      </c>
      <c r="K35" s="132" t="str">
        <f>HYPERLINK("https://drive.google.com/drive/folders/0BwQ57SNHxB3BVS1xSXlxWlpXb0E","3431")</f>
        <v>3431</v>
      </c>
      <c r="L35" s="125"/>
      <c r="M35" s="46"/>
      <c r="N35" s="126"/>
      <c r="O35" s="126"/>
      <c r="P35" s="126"/>
      <c r="Q35" s="126"/>
      <c r="R35" s="126"/>
      <c r="S35" s="126"/>
      <c r="T35" s="128">
        <v>15</v>
      </c>
      <c r="U35" s="128">
        <f t="shared" si="4"/>
        <v>2567</v>
      </c>
      <c r="V35" s="129" t="str">
        <f t="shared" si="5"/>
        <v>34</v>
      </c>
      <c r="W35" s="121">
        <f>COUNTIF('52-62 (สำหรับ จก.ตรวจเยี่ยม)'!$V$4:$V$286,V35)-1</f>
        <v>10</v>
      </c>
      <c r="X35" s="121"/>
      <c r="Y35" s="121"/>
      <c r="Z35" s="121"/>
      <c r="AA35" s="121"/>
    </row>
    <row r="36" spans="1:27" ht="18.75">
      <c r="A36" s="88"/>
      <c r="B36" s="121">
        <v>3432</v>
      </c>
      <c r="C36" s="121" t="s">
        <v>256</v>
      </c>
      <c r="D36" s="88" t="s">
        <v>257</v>
      </c>
      <c r="E36" s="121">
        <v>54</v>
      </c>
      <c r="F36" s="46" t="s">
        <v>258</v>
      </c>
      <c r="G36" s="26" t="s">
        <v>78</v>
      </c>
      <c r="H36" s="122">
        <v>220000</v>
      </c>
      <c r="I36" s="123"/>
      <c r="J36" s="124"/>
      <c r="K36" s="132" t="str">
        <f>HYPERLINK("https://drive.google.com/drive/folders/0BwQ57SNHxB3BbUpjRGZlNExpcE0","3432")</f>
        <v>3432</v>
      </c>
      <c r="L36" s="125"/>
      <c r="M36" s="46"/>
      <c r="N36" s="126"/>
      <c r="O36" s="126"/>
      <c r="P36" s="126"/>
      <c r="Q36" s="126"/>
      <c r="R36" s="126"/>
      <c r="S36" s="126"/>
      <c r="T36" s="128">
        <v>15</v>
      </c>
      <c r="U36" s="128">
        <f t="shared" si="4"/>
        <v>2567</v>
      </c>
      <c r="V36" s="129" t="str">
        <f t="shared" si="5"/>
        <v>34</v>
      </c>
      <c r="W36" s="121">
        <f>COUNTIF('52-62 (สำหรับ จก.ตรวจเยี่ยม)'!$V$4:$V$286,V36)-1</f>
        <v>10</v>
      </c>
      <c r="X36" s="121"/>
      <c r="Y36" s="121"/>
      <c r="Z36" s="121"/>
      <c r="AA36" s="121"/>
    </row>
    <row r="37" spans="1:27" ht="18.75">
      <c r="A37" s="88"/>
      <c r="B37" s="121">
        <v>3432</v>
      </c>
      <c r="C37" s="121" t="s">
        <v>256</v>
      </c>
      <c r="D37" s="88" t="s">
        <v>263</v>
      </c>
      <c r="E37" s="121">
        <v>56</v>
      </c>
      <c r="F37" s="46" t="s">
        <v>265</v>
      </c>
      <c r="G37" s="26" t="s">
        <v>78</v>
      </c>
      <c r="H37" s="122">
        <v>100000</v>
      </c>
      <c r="I37" s="123"/>
      <c r="J37" s="124"/>
      <c r="K37" s="132" t="str">
        <f>HYPERLINK("https://drive.google.com/drive/folders/0BwQ57SNHxB3BbUpjRGZlNExpcE0","3432")</f>
        <v>3432</v>
      </c>
      <c r="L37" s="125"/>
      <c r="M37" s="46"/>
      <c r="N37" s="126"/>
      <c r="O37" s="126"/>
      <c r="P37" s="126"/>
      <c r="Q37" s="126"/>
      <c r="R37" s="126"/>
      <c r="S37" s="126"/>
      <c r="T37" s="128">
        <v>15</v>
      </c>
      <c r="U37" s="128">
        <f t="shared" si="4"/>
        <v>2569</v>
      </c>
      <c r="V37" s="129" t="str">
        <f t="shared" si="5"/>
        <v>34</v>
      </c>
      <c r="W37" s="121">
        <f>COUNTIF('52-62 (สำหรับ จก.ตรวจเยี่ยม)'!$V$4:$V$286,V37)-1</f>
        <v>10</v>
      </c>
      <c r="X37" s="121"/>
      <c r="Y37" s="121"/>
      <c r="Z37" s="121"/>
      <c r="AA37" s="121"/>
    </row>
    <row r="38" spans="1:27" ht="18.75">
      <c r="A38" s="88"/>
      <c r="B38" s="121">
        <v>3433</v>
      </c>
      <c r="C38" s="121" t="s">
        <v>157</v>
      </c>
      <c r="D38" s="88" t="s">
        <v>270</v>
      </c>
      <c r="E38" s="121">
        <v>54</v>
      </c>
      <c r="F38" s="46" t="s">
        <v>272</v>
      </c>
      <c r="G38" s="26" t="s">
        <v>273</v>
      </c>
      <c r="H38" s="122">
        <v>9500</v>
      </c>
      <c r="I38" s="123"/>
      <c r="J38" s="130" t="str">
        <f>HYPERLINK("https://drive.google.com/open?id=0B2rLR4BADrBtX294RUVaWDdNS1k","3433")</f>
        <v>3433</v>
      </c>
      <c r="K38" s="132" t="str">
        <f>HYPERLINK("https://drive.google.com/drive/folders/0BwQ57SNHxB3BNFgyQ2E3b216NjQ","3433")</f>
        <v>3433</v>
      </c>
      <c r="L38" s="125"/>
      <c r="M38" s="46"/>
      <c r="N38" s="126"/>
      <c r="O38" s="126"/>
      <c r="P38" s="126"/>
      <c r="Q38" s="126"/>
      <c r="R38" s="126"/>
      <c r="S38" s="126"/>
      <c r="T38" s="128">
        <v>15</v>
      </c>
      <c r="U38" s="128">
        <f t="shared" si="4"/>
        <v>2567</v>
      </c>
      <c r="V38" s="129" t="str">
        <f t="shared" si="5"/>
        <v>34</v>
      </c>
      <c r="W38" s="121">
        <f>COUNTIF($V$4:$V$286,V38)-1</f>
        <v>10</v>
      </c>
      <c r="X38" s="121"/>
      <c r="Y38" s="121"/>
      <c r="Z38" s="121"/>
      <c r="AA38" s="121"/>
    </row>
    <row r="39" spans="1:27" ht="18.75">
      <c r="A39" s="88"/>
      <c r="B39" s="121">
        <v>3433</v>
      </c>
      <c r="C39" s="121" t="s">
        <v>157</v>
      </c>
      <c r="D39" s="88" t="s">
        <v>278</v>
      </c>
      <c r="E39" s="121">
        <v>53</v>
      </c>
      <c r="F39" s="46" t="s">
        <v>279</v>
      </c>
      <c r="G39" s="26" t="s">
        <v>53</v>
      </c>
      <c r="H39" s="122">
        <v>26500</v>
      </c>
      <c r="I39" s="123"/>
      <c r="J39" s="130" t="str">
        <f>HYPERLINK("https://drive.google.com/open?id=0B2rLR4BADrBteHAyVnJ3MGo0YXc","3433")</f>
        <v>3433</v>
      </c>
      <c r="K39" s="132" t="str">
        <f>HYPERLINK("https://drive.google.com/drive/folders/0BwQ57SNHxB3BNFgyQ2E3b216NjQ","3433")</f>
        <v>3433</v>
      </c>
      <c r="L39" s="125"/>
      <c r="M39" s="46"/>
      <c r="N39" s="126"/>
      <c r="O39" s="126"/>
      <c r="P39" s="126"/>
      <c r="Q39" s="126"/>
      <c r="R39" s="126"/>
      <c r="S39" s="126"/>
      <c r="T39" s="128">
        <v>15</v>
      </c>
      <c r="U39" s="128">
        <f t="shared" si="4"/>
        <v>2566</v>
      </c>
      <c r="V39" s="129" t="str">
        <f t="shared" si="5"/>
        <v>34</v>
      </c>
      <c r="W39" s="121">
        <f>COUNTIF($V$4:$V$286,V39)-1</f>
        <v>10</v>
      </c>
      <c r="X39" s="121"/>
      <c r="Y39" s="121"/>
      <c r="Z39" s="121"/>
      <c r="AA39" s="121"/>
    </row>
    <row r="40" spans="1:27" ht="18.75">
      <c r="A40" s="88"/>
      <c r="B40" s="121">
        <v>3442</v>
      </c>
      <c r="C40" s="121" t="s">
        <v>63</v>
      </c>
      <c r="D40" s="88" t="s">
        <v>284</v>
      </c>
      <c r="E40" s="121">
        <v>58</v>
      </c>
      <c r="F40" s="46" t="s">
        <v>285</v>
      </c>
      <c r="G40" s="26" t="s">
        <v>78</v>
      </c>
      <c r="H40" s="122">
        <v>200000</v>
      </c>
      <c r="I40" s="123"/>
      <c r="J40" s="130" t="str">
        <f>HYPERLINK("https://drive.google.com/open?id=0B2vBTVEfSzItUG5vN19yWDJVdWM","3442")</f>
        <v>3442</v>
      </c>
      <c r="K40" s="132" t="str">
        <f>HYPERLINK("https://drive.google.com/drive/folders/0BwQ57SNHxB3BWmotZ1N2X1Z3djQ","3442")</f>
        <v>3442</v>
      </c>
      <c r="L40" s="125"/>
      <c r="M40" s="46"/>
      <c r="N40" s="126"/>
      <c r="O40" s="126"/>
      <c r="P40" s="126"/>
      <c r="Q40" s="126"/>
      <c r="R40" s="126"/>
      <c r="S40" s="126"/>
      <c r="T40" s="128"/>
      <c r="U40" s="128">
        <f t="shared" si="4"/>
        <v>2556</v>
      </c>
      <c r="V40" s="129" t="str">
        <f t="shared" si="5"/>
        <v>34</v>
      </c>
      <c r="W40" s="121">
        <f>COUNTIF('52-62 (สำหรับ จก.ตรวจเยี่ยม)'!$V$4:$V$286,V40)-1</f>
        <v>10</v>
      </c>
      <c r="X40" s="121"/>
      <c r="Y40" s="121"/>
      <c r="Z40" s="121"/>
      <c r="AA40" s="121"/>
    </row>
    <row r="41" spans="1:27" ht="18.75">
      <c r="A41" s="117"/>
      <c r="B41" s="117">
        <v>3700</v>
      </c>
      <c r="C41" s="117"/>
      <c r="D41" s="120" t="str">
        <f>"พัสดุ"&amp; VLOOKUP(V41,'เลขSpec.2 ตัวแรก'!$A$2:$B$100,2,FALSE)&amp; " จำนวน "&amp;W41&amp;" รายการ"</f>
        <v>พัสดุหมวด 37 เครื่องจักรกลและบริภัณฑ์เกษตรกรรม จำนวน 6 รายการ</v>
      </c>
      <c r="E41" s="117"/>
      <c r="F41" s="117"/>
      <c r="G41" s="117"/>
      <c r="H41" s="117"/>
      <c r="I41" s="117"/>
      <c r="J41" s="119"/>
      <c r="K41" s="118"/>
      <c r="L41" s="118"/>
      <c r="M41" s="117"/>
      <c r="N41" s="117"/>
      <c r="O41" s="117"/>
      <c r="P41" s="118"/>
      <c r="Q41" s="117"/>
      <c r="R41" s="117"/>
      <c r="S41" s="117"/>
      <c r="T41" s="117"/>
      <c r="U41" s="117"/>
      <c r="V41" s="119" t="str">
        <f t="shared" si="5"/>
        <v>37</v>
      </c>
      <c r="W41" s="118">
        <f>COUNTIF($V$2:$V$286,V41)-1</f>
        <v>6</v>
      </c>
      <c r="X41" s="118"/>
      <c r="Y41" s="121"/>
      <c r="Z41" s="121"/>
      <c r="AA41" s="121"/>
    </row>
    <row r="42" spans="1:27" ht="18.75">
      <c r="A42" s="88"/>
      <c r="B42" s="121">
        <v>3750</v>
      </c>
      <c r="C42" s="121" t="s">
        <v>256</v>
      </c>
      <c r="D42" s="121" t="s">
        <v>294</v>
      </c>
      <c r="E42" s="121">
        <v>61</v>
      </c>
      <c r="F42" s="46" t="s">
        <v>152</v>
      </c>
      <c r="G42" s="26" t="s">
        <v>78</v>
      </c>
      <c r="H42" s="122">
        <v>9500</v>
      </c>
      <c r="I42" s="123"/>
      <c r="J42" s="130" t="str">
        <f>HYPERLINK("https://drive.google.com/open?id=1ufQfoDiiaYCbrJzN3VHB6iPNKKG93CRr","3750")</f>
        <v>3750</v>
      </c>
      <c r="K42" s="125"/>
      <c r="L42" s="125"/>
      <c r="M42" s="46"/>
      <c r="N42" s="126"/>
      <c r="O42" s="126"/>
      <c r="P42" s="126"/>
      <c r="Q42" s="126"/>
      <c r="R42" s="126"/>
      <c r="S42" s="126"/>
      <c r="T42" s="128"/>
      <c r="U42" s="128">
        <f t="shared" ref="U42:U47" si="6">E42+T42-2+2500</f>
        <v>2559</v>
      </c>
      <c r="V42" s="129" t="str">
        <f t="shared" si="5"/>
        <v>37</v>
      </c>
      <c r="W42" s="121">
        <f>COUNTIF('52-62 (สำหรับ จก.ตรวจเยี่ยม)'!$V$4:$V$286,V42)-1</f>
        <v>6</v>
      </c>
      <c r="X42" s="121"/>
      <c r="Y42" s="121"/>
      <c r="Z42" s="121"/>
      <c r="AA42" s="121"/>
    </row>
    <row r="43" spans="1:27" ht="18.75">
      <c r="A43" s="88"/>
      <c r="B43" s="121">
        <v>3750</v>
      </c>
      <c r="C43" s="121" t="s">
        <v>256</v>
      </c>
      <c r="D43" s="88" t="s">
        <v>303</v>
      </c>
      <c r="E43" s="121">
        <v>53</v>
      </c>
      <c r="F43" s="46" t="s">
        <v>161</v>
      </c>
      <c r="G43" s="26" t="s">
        <v>78</v>
      </c>
      <c r="H43" s="122">
        <v>13000</v>
      </c>
      <c r="I43" s="123"/>
      <c r="J43" s="130" t="str">
        <f>HYPERLINK("https://drive.google.com/open?id=0B2vBTVEfSzItWWFhdUNacTUtMnM","3750")</f>
        <v>3750</v>
      </c>
      <c r="K43" s="132" t="str">
        <f>HYPERLINK("https://drive.google.com/drive/folders/0BwQ57SNHxB3BUFZCYzVBQWZaVTA","3750")</f>
        <v>3750</v>
      </c>
      <c r="L43" s="125"/>
      <c r="M43" s="46"/>
      <c r="N43" s="126"/>
      <c r="O43" s="126"/>
      <c r="P43" s="126"/>
      <c r="Q43" s="126"/>
      <c r="R43" s="126"/>
      <c r="S43" s="126"/>
      <c r="T43" s="128">
        <v>15</v>
      </c>
      <c r="U43" s="128">
        <f t="shared" si="6"/>
        <v>2566</v>
      </c>
      <c r="V43" s="129" t="str">
        <f t="shared" si="5"/>
        <v>37</v>
      </c>
      <c r="W43" s="121">
        <f>COUNTIF('52-62 (สำหรับ จก.ตรวจเยี่ยม)'!$V$4:$V$286,V43)-1</f>
        <v>6</v>
      </c>
      <c r="X43" s="121"/>
      <c r="Y43" s="121"/>
      <c r="Z43" s="121"/>
      <c r="AA43" s="121"/>
    </row>
    <row r="44" spans="1:27" ht="18.75">
      <c r="A44" s="88"/>
      <c r="B44" s="121">
        <v>3750</v>
      </c>
      <c r="C44" s="121" t="s">
        <v>256</v>
      </c>
      <c r="D44" s="88" t="s">
        <v>310</v>
      </c>
      <c r="E44" s="121">
        <v>53</v>
      </c>
      <c r="F44" s="46" t="s">
        <v>165</v>
      </c>
      <c r="G44" s="26" t="s">
        <v>78</v>
      </c>
      <c r="H44" s="122">
        <v>182000</v>
      </c>
      <c r="I44" s="123"/>
      <c r="J44" s="124"/>
      <c r="K44" s="132" t="str">
        <f>HYPERLINK("https://drive.google.com/drive/folders/0BwQ57SNHxB3BUFZCYzVBQWZaVTA","3750")</f>
        <v>3750</v>
      </c>
      <c r="L44" s="125"/>
      <c r="M44" s="46"/>
      <c r="N44" s="126"/>
      <c r="O44" s="126"/>
      <c r="P44" s="126"/>
      <c r="Q44" s="126"/>
      <c r="R44" s="126"/>
      <c r="S44" s="126"/>
      <c r="T44" s="128">
        <v>15</v>
      </c>
      <c r="U44" s="128">
        <f t="shared" si="6"/>
        <v>2566</v>
      </c>
      <c r="V44" s="129" t="str">
        <f t="shared" si="5"/>
        <v>37</v>
      </c>
      <c r="W44" s="121">
        <f>COUNTIF('52-62 (สำหรับ จก.ตรวจเยี่ยม)'!$V$4:$V$286,V44)-1</f>
        <v>6</v>
      </c>
      <c r="X44" s="121"/>
      <c r="Y44" s="121"/>
      <c r="Z44" s="121"/>
      <c r="AA44" s="121"/>
    </row>
    <row r="45" spans="1:27" ht="18.75">
      <c r="A45" s="88"/>
      <c r="B45" s="121">
        <v>3750</v>
      </c>
      <c r="C45" s="121" t="s">
        <v>256</v>
      </c>
      <c r="D45" s="88" t="s">
        <v>313</v>
      </c>
      <c r="E45" s="121">
        <v>53</v>
      </c>
      <c r="F45" s="46" t="s">
        <v>167</v>
      </c>
      <c r="G45" s="26" t="s">
        <v>78</v>
      </c>
      <c r="H45" s="122">
        <v>12000</v>
      </c>
      <c r="I45" s="123"/>
      <c r="J45" s="124"/>
      <c r="K45" s="132" t="str">
        <f>HYPERLINK("https://drive.google.com/drive/folders/0BwQ57SNHxB3BUFZCYzVBQWZaVTA","3750")</f>
        <v>3750</v>
      </c>
      <c r="L45" s="125"/>
      <c r="M45" s="46"/>
      <c r="N45" s="126"/>
      <c r="O45" s="126"/>
      <c r="P45" s="126"/>
      <c r="Q45" s="126"/>
      <c r="R45" s="126"/>
      <c r="S45" s="126"/>
      <c r="T45" s="128">
        <v>15</v>
      </c>
      <c r="U45" s="128">
        <f t="shared" si="6"/>
        <v>2566</v>
      </c>
      <c r="V45" s="129" t="str">
        <f t="shared" si="5"/>
        <v>37</v>
      </c>
      <c r="W45" s="121">
        <f>COUNTIF('52-62 (สำหรับ จก.ตรวจเยี่ยม)'!$V$4:$V$286,V45)-1</f>
        <v>6</v>
      </c>
      <c r="X45" s="121"/>
      <c r="Y45" s="121"/>
      <c r="Z45" s="121"/>
      <c r="AA45" s="121"/>
    </row>
    <row r="46" spans="1:27" ht="18.75">
      <c r="A46" s="88"/>
      <c r="B46" s="121">
        <v>3750</v>
      </c>
      <c r="C46" s="121" t="s">
        <v>256</v>
      </c>
      <c r="D46" s="88" t="s">
        <v>319</v>
      </c>
      <c r="E46" s="121">
        <v>58</v>
      </c>
      <c r="F46" s="46" t="s">
        <v>320</v>
      </c>
      <c r="G46" s="26" t="s">
        <v>78</v>
      </c>
      <c r="H46" s="122">
        <v>180000</v>
      </c>
      <c r="I46" s="123"/>
      <c r="J46" s="130" t="str">
        <f>HYPERLINK("https://drive.google.com/open?id=0B2vBTVEfSzItRjBoaWdNb3JlbW8","3750")</f>
        <v>3750</v>
      </c>
      <c r="K46" s="132" t="str">
        <f>HYPERLINK("https://drive.google.com/drive/folders/0BwQ57SNHxB3BUFZCYzVBQWZaVTA","3750")</f>
        <v>3750</v>
      </c>
      <c r="L46" s="125"/>
      <c r="M46" s="46"/>
      <c r="N46" s="126"/>
      <c r="O46" s="126"/>
      <c r="P46" s="126"/>
      <c r="Q46" s="126"/>
      <c r="R46" s="126"/>
      <c r="S46" s="126"/>
      <c r="T46" s="128">
        <v>15</v>
      </c>
      <c r="U46" s="128">
        <f t="shared" si="6"/>
        <v>2571</v>
      </c>
      <c r="V46" s="129" t="str">
        <f t="shared" si="5"/>
        <v>37</v>
      </c>
      <c r="W46" s="121">
        <f>COUNTIF($V$4:$V$286,V46)-1</f>
        <v>6</v>
      </c>
      <c r="X46" s="121"/>
      <c r="Y46" s="121"/>
      <c r="Z46" s="121"/>
      <c r="AA46" s="121"/>
    </row>
    <row r="47" spans="1:27" ht="18.75">
      <c r="A47" s="88"/>
      <c r="B47" s="121">
        <v>3750</v>
      </c>
      <c r="C47" s="121" t="s">
        <v>63</v>
      </c>
      <c r="D47" s="88" t="s">
        <v>325</v>
      </c>
      <c r="E47" s="121">
        <v>55</v>
      </c>
      <c r="F47" s="46" t="s">
        <v>326</v>
      </c>
      <c r="G47" s="26" t="s">
        <v>53</v>
      </c>
      <c r="H47" s="122">
        <v>750000</v>
      </c>
      <c r="I47" s="123"/>
      <c r="J47" s="130" t="str">
        <f>HYPERLINK("https://drive.google.com/open?id=0B2rLR4BADrBtQWpSdUx2a0oxczg","3750")</f>
        <v>3750</v>
      </c>
      <c r="K47" s="132" t="str">
        <f>HYPERLINK("https://drive.google.com/drive/folders/0BwQ57SNHxB3BUFZCYzVBQWZaVTA","3750")</f>
        <v>3750</v>
      </c>
      <c r="L47" s="125"/>
      <c r="M47" s="46"/>
      <c r="N47" s="126"/>
      <c r="O47" s="126"/>
      <c r="P47" s="126"/>
      <c r="Q47" s="126"/>
      <c r="R47" s="126"/>
      <c r="S47" s="126"/>
      <c r="T47" s="128">
        <v>15</v>
      </c>
      <c r="U47" s="128">
        <f t="shared" si="6"/>
        <v>2568</v>
      </c>
      <c r="V47" s="129" t="str">
        <f t="shared" si="5"/>
        <v>37</v>
      </c>
      <c r="W47" s="121">
        <f>COUNTIF($V$4:$V$286,V47)-1</f>
        <v>6</v>
      </c>
      <c r="X47" s="121"/>
      <c r="Y47" s="121"/>
      <c r="Z47" s="121"/>
      <c r="AA47" s="121"/>
    </row>
    <row r="48" spans="1:27" ht="18.75">
      <c r="A48" s="117"/>
      <c r="B48" s="117">
        <v>3800</v>
      </c>
      <c r="C48" s="118"/>
      <c r="D48" s="117" t="str">
        <f>"พัสดุ"&amp; VLOOKUP(V48,'เลขSpec.2 ตัวแรก'!$A$2:$B$100,2,FALSE)&amp; " จำนวน "&amp;W48&amp;" รายการ"</f>
        <v>พัสดุหมวด 38 บริภัณฑ์การก่อสร้าง การทำเหมืองแร่ การขุดและการซ่อมบำรุงถนน จำนวน 11 รายการ</v>
      </c>
      <c r="E48" s="117"/>
      <c r="F48" s="117"/>
      <c r="G48" s="117"/>
      <c r="H48" s="117"/>
      <c r="I48" s="119"/>
      <c r="J48" s="119"/>
      <c r="K48" s="119"/>
      <c r="L48" s="117"/>
      <c r="M48" s="117"/>
      <c r="N48" s="117"/>
      <c r="O48" s="118"/>
      <c r="P48" s="117"/>
      <c r="Q48" s="117"/>
      <c r="R48" s="117"/>
      <c r="S48" s="117"/>
      <c r="T48" s="117"/>
      <c r="U48" s="119"/>
      <c r="V48" s="119" t="str">
        <f t="shared" si="5"/>
        <v>38</v>
      </c>
      <c r="W48" s="119">
        <f>COUNTIF($V$2:$V$286,V48)-1</f>
        <v>11</v>
      </c>
      <c r="X48" s="117"/>
      <c r="Y48" s="121"/>
      <c r="Z48" s="121"/>
      <c r="AA48" s="121"/>
    </row>
    <row r="49" spans="1:27" ht="18.75">
      <c r="A49" s="88"/>
      <c r="B49" s="121">
        <v>3805</v>
      </c>
      <c r="C49" s="121" t="s">
        <v>63</v>
      </c>
      <c r="D49" s="88" t="s">
        <v>340</v>
      </c>
      <c r="E49" s="121">
        <v>60</v>
      </c>
      <c r="F49" s="46" t="s">
        <v>341</v>
      </c>
      <c r="G49" s="26" t="s">
        <v>28</v>
      </c>
      <c r="H49" s="122">
        <v>2500000</v>
      </c>
      <c r="I49" s="123"/>
      <c r="J49" s="130" t="str">
        <f>HYPERLINK("https://drive.google.com/open?id=0B2vBTVEfSzItS21fd2RzWFAxZE0","3805")</f>
        <v>3805</v>
      </c>
      <c r="K49" s="125"/>
      <c r="L49" s="125"/>
      <c r="M49" s="46"/>
      <c r="N49" s="126"/>
      <c r="O49" s="126"/>
      <c r="P49" s="126"/>
      <c r="Q49" s="126"/>
      <c r="R49" s="126"/>
      <c r="S49" s="126"/>
      <c r="T49" s="128"/>
      <c r="U49" s="128">
        <f>E49+T49-2+2500</f>
        <v>2558</v>
      </c>
      <c r="V49" s="129" t="str">
        <f t="shared" si="5"/>
        <v>38</v>
      </c>
      <c r="W49" s="121">
        <f>COUNTIF($V$4:$V$286,V49)-1</f>
        <v>11</v>
      </c>
      <c r="X49" s="121"/>
      <c r="Y49" s="121"/>
      <c r="Z49" s="121"/>
      <c r="AA49" s="121"/>
    </row>
    <row r="50" spans="1:27" ht="18.75">
      <c r="A50" s="88"/>
      <c r="B50" s="121">
        <v>3805</v>
      </c>
      <c r="C50" s="121" t="s">
        <v>63</v>
      </c>
      <c r="D50" s="88" t="s">
        <v>350</v>
      </c>
      <c r="E50" s="121">
        <v>57</v>
      </c>
      <c r="F50" s="46" t="s">
        <v>351</v>
      </c>
      <c r="G50" s="26" t="s">
        <v>28</v>
      </c>
      <c r="H50" s="122">
        <v>5000000</v>
      </c>
      <c r="I50" s="123"/>
      <c r="J50" s="130" t="str">
        <f>HYPERLINK("https://drive.google.com/open?id=0B2rLR4BADrBtNTFZWkdGaWZYWG8","3805")</f>
        <v>3805</v>
      </c>
      <c r="K50" s="132" t="str">
        <f>HYPERLINK("https://drive.google.com/drive/folders/0BwQ57SNHxB3BcU81M201Vm9ZdkU","3805")</f>
        <v>3805</v>
      </c>
      <c r="L50" s="125"/>
      <c r="M50" s="46"/>
      <c r="N50" s="126"/>
      <c r="O50" s="126"/>
      <c r="P50" s="126"/>
      <c r="Q50" s="126"/>
      <c r="R50" s="126"/>
      <c r="S50" s="126"/>
      <c r="T50" s="128">
        <v>20</v>
      </c>
      <c r="U50" s="128">
        <f>E50+T50-2+2500</f>
        <v>2575</v>
      </c>
      <c r="V50" s="129" t="str">
        <f t="shared" si="5"/>
        <v>38</v>
      </c>
      <c r="W50" s="121">
        <f>COUNTIF($V$4:$V$286,V50)-1</f>
        <v>11</v>
      </c>
      <c r="X50" s="121"/>
      <c r="Y50" s="121"/>
      <c r="Z50" s="121"/>
      <c r="AA50" s="121"/>
    </row>
    <row r="51" spans="1:27" ht="18.75">
      <c r="A51" s="88"/>
      <c r="B51" s="121">
        <v>3805</v>
      </c>
      <c r="C51" s="121" t="s">
        <v>63</v>
      </c>
      <c r="D51" s="88" t="s">
        <v>359</v>
      </c>
      <c r="E51" s="121">
        <v>59</v>
      </c>
      <c r="F51" s="46" t="s">
        <v>360</v>
      </c>
      <c r="G51" s="26" t="s">
        <v>28</v>
      </c>
      <c r="H51" s="122">
        <v>4500000</v>
      </c>
      <c r="I51" s="123"/>
      <c r="J51" s="130" t="str">
        <f>HYPERLINK("https://drive.google.com/open?id=0B2vBTVEfSzItME90d1dqTjBGZGs","3805")</f>
        <v>3805</v>
      </c>
      <c r="K51" s="132" t="str">
        <f>HYPERLINK("https://drive.google.com/drive/folders/0BwQ57SNHxB3BcU81M201Vm9ZdkU","3805")</f>
        <v>3805</v>
      </c>
      <c r="L51" s="125"/>
      <c r="M51" s="46"/>
      <c r="N51" s="126"/>
      <c r="O51" s="126"/>
      <c r="P51" s="126"/>
      <c r="Q51" s="126"/>
      <c r="R51" s="126"/>
      <c r="S51" s="126"/>
      <c r="T51" s="128"/>
      <c r="U51" s="128">
        <f>E51+T51-2+2500</f>
        <v>2557</v>
      </c>
      <c r="V51" s="129" t="str">
        <f t="shared" si="5"/>
        <v>38</v>
      </c>
      <c r="W51" s="121">
        <f>COUNTIF($V$4:$V$286,V51)-1</f>
        <v>11</v>
      </c>
      <c r="X51" s="121"/>
      <c r="Y51" s="121"/>
      <c r="Z51" s="121"/>
      <c r="AA51" s="121"/>
    </row>
    <row r="52" spans="1:27" ht="18.75">
      <c r="A52" s="88"/>
      <c r="B52" s="121">
        <v>3805</v>
      </c>
      <c r="C52" s="121" t="s">
        <v>63</v>
      </c>
      <c r="D52" s="88" t="s">
        <v>365</v>
      </c>
      <c r="E52" s="121">
        <v>62</v>
      </c>
      <c r="F52" s="46" t="s">
        <v>366</v>
      </c>
      <c r="G52" s="26" t="s">
        <v>367</v>
      </c>
      <c r="H52" s="122">
        <v>3800000</v>
      </c>
      <c r="I52" s="123"/>
      <c r="J52" s="130" t="str">
        <f>HYPERLINK("https://drive.google.com/open?id=1zXwF20wl-SN960KREf7OXsDJIuaLLZft","3805")</f>
        <v>3805</v>
      </c>
      <c r="K52" s="125"/>
      <c r="L52" s="125"/>
      <c r="M52" s="46"/>
      <c r="N52" s="126"/>
      <c r="O52" s="126"/>
      <c r="P52" s="126"/>
      <c r="Q52" s="126"/>
      <c r="R52" s="126"/>
      <c r="S52" s="126"/>
      <c r="T52" s="128"/>
      <c r="U52" s="128"/>
      <c r="V52" s="129"/>
      <c r="W52" s="121"/>
      <c r="X52" s="121"/>
      <c r="Y52" s="121"/>
      <c r="Z52" s="121"/>
      <c r="AA52" s="121"/>
    </row>
    <row r="53" spans="1:27" ht="18.75">
      <c r="A53" s="88"/>
      <c r="B53" s="121">
        <v>3820</v>
      </c>
      <c r="C53" s="121" t="s">
        <v>372</v>
      </c>
      <c r="D53" s="88" t="s">
        <v>375</v>
      </c>
      <c r="E53" s="121">
        <v>61</v>
      </c>
      <c r="F53" s="46" t="s">
        <v>376</v>
      </c>
      <c r="G53" s="26" t="s">
        <v>78</v>
      </c>
      <c r="H53" s="122">
        <v>580000</v>
      </c>
      <c r="I53" s="123"/>
      <c r="J53" s="130" t="str">
        <f>HYPERLINK("https://drive.google.com/open?id=15-mxRv1y2zplmLe4T-7mwa6EEhTKUkJH","3820")</f>
        <v>3820</v>
      </c>
      <c r="K53" s="132" t="str">
        <f>HYPERLINK("https://drive.google.com/drive/folders/0BwQ57SNHxB3BeURHU09mWUJ0NEk","3820")</f>
        <v>3820</v>
      </c>
      <c r="L53" s="88" t="s">
        <v>379</v>
      </c>
      <c r="M53" s="46"/>
      <c r="N53" s="126"/>
      <c r="O53" s="126"/>
      <c r="P53" s="126"/>
      <c r="Q53" s="126"/>
      <c r="R53" s="126"/>
      <c r="S53" s="126"/>
      <c r="T53" s="128">
        <v>20</v>
      </c>
      <c r="U53" s="128">
        <f>E53+T53-2+2500</f>
        <v>2579</v>
      </c>
      <c r="V53" s="129" t="str">
        <f t="shared" ref="V53:V68" si="7">LEFT(B53, SEARCH("",B53,2))</f>
        <v>38</v>
      </c>
      <c r="W53" s="121">
        <f>COUNTIF($V$4:$V$286,V53)-1</f>
        <v>11</v>
      </c>
      <c r="X53" s="121" t="s">
        <v>384</v>
      </c>
      <c r="Y53" s="121"/>
      <c r="Z53" s="121"/>
      <c r="AA53" s="121"/>
    </row>
    <row r="54" spans="1:27" ht="18.75">
      <c r="A54" s="88"/>
      <c r="B54" s="121">
        <v>3820</v>
      </c>
      <c r="C54" s="121" t="s">
        <v>372</v>
      </c>
      <c r="D54" s="88" t="s">
        <v>387</v>
      </c>
      <c r="E54" s="121">
        <v>61</v>
      </c>
      <c r="F54" s="46" t="s">
        <v>388</v>
      </c>
      <c r="G54" s="26" t="s">
        <v>78</v>
      </c>
      <c r="H54" s="122">
        <v>80000</v>
      </c>
      <c r="I54" s="123"/>
      <c r="J54" s="130" t="str">
        <f>HYPERLINK("https://drive.google.com/open?id=1d1I73QWQZAVKyaSh47jcDxJteIoD6Wj9","3820")</f>
        <v>3820</v>
      </c>
      <c r="K54" s="125"/>
      <c r="L54" s="88" t="s">
        <v>390</v>
      </c>
      <c r="M54" s="46"/>
      <c r="N54" s="126"/>
      <c r="O54" s="126"/>
      <c r="P54" s="126"/>
      <c r="Q54" s="126"/>
      <c r="R54" s="126"/>
      <c r="S54" s="126"/>
      <c r="T54" s="128"/>
      <c r="U54" s="128"/>
      <c r="V54" s="129" t="str">
        <f t="shared" si="7"/>
        <v>38</v>
      </c>
      <c r="W54" s="121">
        <f>COUNTIF($V$4:$V$286,V54)-1</f>
        <v>11</v>
      </c>
      <c r="X54" s="121" t="s">
        <v>384</v>
      </c>
      <c r="Y54" s="121"/>
      <c r="Z54" s="121"/>
      <c r="AA54" s="121"/>
    </row>
    <row r="55" spans="1:27" ht="18.75">
      <c r="A55" s="88"/>
      <c r="B55" s="121">
        <v>3820</v>
      </c>
      <c r="C55" s="121" t="s">
        <v>372</v>
      </c>
      <c r="D55" s="88" t="s">
        <v>392</v>
      </c>
      <c r="E55" s="121">
        <v>55</v>
      </c>
      <c r="F55" s="46" t="s">
        <v>393</v>
      </c>
      <c r="G55" s="26" t="s">
        <v>78</v>
      </c>
      <c r="H55" s="122">
        <v>300000</v>
      </c>
      <c r="I55" s="123"/>
      <c r="J55" s="130" t="str">
        <f>HYPERLINK("https://drive.google.com/open?id=0B2rLR4BADrBtZEFsa19hY1Z5eW8","3820")</f>
        <v>3820</v>
      </c>
      <c r="K55" s="132" t="str">
        <f>HYPERLINK("https://drive.google.com/drive/folders/0BwQ57SNHxB3BeURHU09mWUJ0NEk","3820")</f>
        <v>3820</v>
      </c>
      <c r="L55" s="88" t="s">
        <v>398</v>
      </c>
      <c r="M55" s="46"/>
      <c r="N55" s="126"/>
      <c r="O55" s="126"/>
      <c r="P55" s="126"/>
      <c r="Q55" s="126"/>
      <c r="R55" s="126"/>
      <c r="S55" s="126"/>
      <c r="T55" s="128">
        <v>20</v>
      </c>
      <c r="U55" s="128">
        <f t="shared" ref="U55:U60" si="8">E55+T55-2+2500</f>
        <v>2573</v>
      </c>
      <c r="V55" s="129" t="str">
        <f t="shared" si="7"/>
        <v>38</v>
      </c>
      <c r="W55" s="121">
        <f>COUNTIF('52-62 (สำหรับ จก.ตรวจเยี่ยม)'!$V$4:$V$286,V55)-1</f>
        <v>11</v>
      </c>
      <c r="X55" s="121" t="s">
        <v>384</v>
      </c>
      <c r="Y55" s="121"/>
      <c r="Z55" s="121"/>
      <c r="AA55" s="121"/>
    </row>
    <row r="56" spans="1:27" ht="18.75">
      <c r="A56" s="88"/>
      <c r="B56" s="121">
        <v>3825</v>
      </c>
      <c r="C56" s="121" t="s">
        <v>63</v>
      </c>
      <c r="D56" s="88" t="s">
        <v>401</v>
      </c>
      <c r="E56" s="121">
        <v>53</v>
      </c>
      <c r="F56" s="46" t="s">
        <v>403</v>
      </c>
      <c r="G56" s="26" t="s">
        <v>78</v>
      </c>
      <c r="H56" s="122">
        <v>270000</v>
      </c>
      <c r="I56" s="123"/>
      <c r="J56" s="130" t="str">
        <f>HYPERLINK("https://drive.google.com/open?id=0B2rLR4BADrBtQjRKUG9qdDJFUWc","3825")</f>
        <v>3825</v>
      </c>
      <c r="K56" s="132" t="str">
        <f>HYPERLINK("https://drive.google.com/drive/folders/0BwQ57SNHxB3BVGpIdG9kem1lVGc","3825")</f>
        <v>3825</v>
      </c>
      <c r="L56" s="125"/>
      <c r="M56" s="46"/>
      <c r="N56" s="126"/>
      <c r="O56" s="126"/>
      <c r="P56" s="126"/>
      <c r="Q56" s="126"/>
      <c r="R56" s="126"/>
      <c r="S56" s="126"/>
      <c r="T56" s="128">
        <v>20</v>
      </c>
      <c r="U56" s="128">
        <f t="shared" si="8"/>
        <v>2571</v>
      </c>
      <c r="V56" s="129" t="str">
        <f t="shared" si="7"/>
        <v>38</v>
      </c>
      <c r="W56" s="121">
        <f>COUNTIF('52-62 (สำหรับ จก.ตรวจเยี่ยม)'!$V$4:$V$286,V56)-1</f>
        <v>11</v>
      </c>
      <c r="X56" s="121"/>
      <c r="Y56" s="121"/>
      <c r="Z56" s="121"/>
      <c r="AA56" s="121"/>
    </row>
    <row r="57" spans="1:27" ht="18.75">
      <c r="A57" s="88"/>
      <c r="B57" s="121">
        <v>3825</v>
      </c>
      <c r="C57" s="121" t="s">
        <v>63</v>
      </c>
      <c r="D57" s="88" t="s">
        <v>412</v>
      </c>
      <c r="E57" s="121">
        <v>59</v>
      </c>
      <c r="F57" s="46" t="s">
        <v>413</v>
      </c>
      <c r="G57" s="26" t="s">
        <v>28</v>
      </c>
      <c r="H57" s="122">
        <v>15500000</v>
      </c>
      <c r="I57" s="123"/>
      <c r="J57" s="130" t="str">
        <f>HYPERLINK("https://drive.google.com/open?id=0B2vBTVEfSzItV3YyYzEtOFBMY2c","3825")</f>
        <v>3825</v>
      </c>
      <c r="K57" s="125"/>
      <c r="L57" s="88" t="s">
        <v>414</v>
      </c>
      <c r="M57" s="136"/>
      <c r="N57" s="126"/>
      <c r="O57" s="126"/>
      <c r="P57" s="126"/>
      <c r="Q57" s="126"/>
      <c r="R57" s="126"/>
      <c r="S57" s="126"/>
      <c r="T57" s="128"/>
      <c r="U57" s="128">
        <f t="shared" si="8"/>
        <v>2557</v>
      </c>
      <c r="V57" s="129" t="str">
        <f t="shared" si="7"/>
        <v>38</v>
      </c>
      <c r="W57" s="121">
        <f>COUNTIF($V$4:$V$286,V57)-1</f>
        <v>11</v>
      </c>
      <c r="X57" s="121"/>
      <c r="Y57" s="121"/>
      <c r="Z57" s="121"/>
      <c r="AA57" s="121"/>
    </row>
    <row r="58" spans="1:27" ht="18.75">
      <c r="A58" s="88"/>
      <c r="B58" s="121">
        <v>3825</v>
      </c>
      <c r="C58" s="121" t="s">
        <v>63</v>
      </c>
      <c r="D58" s="88" t="s">
        <v>417</v>
      </c>
      <c r="E58" s="121">
        <v>56</v>
      </c>
      <c r="F58" s="46" t="s">
        <v>418</v>
      </c>
      <c r="G58" s="26" t="s">
        <v>28</v>
      </c>
      <c r="H58" s="122">
        <v>345000</v>
      </c>
      <c r="I58" s="123"/>
      <c r="J58" s="130" t="str">
        <f>HYPERLINK("https://drive.google.com/open?id=0B2rLR4BADrBtNVRTTzRMUVdvZkU","3825")</f>
        <v>3825</v>
      </c>
      <c r="K58" s="132" t="str">
        <f>HYPERLINK("https://drive.google.com/drive/folders/0BwQ57SNHxB3BVGpIdG9kem1lVGc","3825")</f>
        <v>3825</v>
      </c>
      <c r="L58" s="125"/>
      <c r="M58" s="46"/>
      <c r="N58" s="126"/>
      <c r="O58" s="126"/>
      <c r="P58" s="126"/>
      <c r="Q58" s="126"/>
      <c r="R58" s="126"/>
      <c r="S58" s="126"/>
      <c r="T58" s="128">
        <v>20</v>
      </c>
      <c r="U58" s="128">
        <f t="shared" si="8"/>
        <v>2574</v>
      </c>
      <c r="V58" s="129" t="str">
        <f t="shared" si="7"/>
        <v>38</v>
      </c>
      <c r="W58" s="121">
        <f>COUNTIF($V$4:$V$286,V58)-1</f>
        <v>11</v>
      </c>
      <c r="X58" s="121"/>
      <c r="Y58" s="121"/>
      <c r="Z58" s="121"/>
      <c r="AA58" s="121"/>
    </row>
    <row r="59" spans="1:27" ht="18.75">
      <c r="A59" s="88"/>
      <c r="B59" s="121">
        <v>3825</v>
      </c>
      <c r="C59" s="121" t="s">
        <v>63</v>
      </c>
      <c r="D59" s="88" t="s">
        <v>429</v>
      </c>
      <c r="E59" s="121">
        <v>54</v>
      </c>
      <c r="F59" s="46" t="s">
        <v>430</v>
      </c>
      <c r="G59" s="26" t="s">
        <v>28</v>
      </c>
      <c r="H59" s="122">
        <v>2400000</v>
      </c>
      <c r="I59" s="123"/>
      <c r="J59" s="130" t="str">
        <f>HYPERLINK("https://drive.google.com/open?id=0B2rLR4BADrBtTWpnel9UYU5ma1U","3825")</f>
        <v>3825</v>
      </c>
      <c r="K59" s="132" t="str">
        <f>HYPERLINK("https://drive.google.com/drive/folders/0BwQ57SNHxB3BVGpIdG9kem1lVGc","3825")</f>
        <v>3825</v>
      </c>
      <c r="L59" s="125"/>
      <c r="M59" s="46"/>
      <c r="N59" s="126"/>
      <c r="O59" s="126"/>
      <c r="P59" s="126"/>
      <c r="Q59" s="126"/>
      <c r="R59" s="126"/>
      <c r="S59" s="126"/>
      <c r="T59" s="128">
        <v>20</v>
      </c>
      <c r="U59" s="128">
        <f t="shared" si="8"/>
        <v>2572</v>
      </c>
      <c r="V59" s="129" t="str">
        <f t="shared" si="7"/>
        <v>38</v>
      </c>
      <c r="W59" s="121">
        <f>COUNTIF($V$4:$V$286,V59)-1</f>
        <v>11</v>
      </c>
      <c r="X59" s="121"/>
      <c r="Y59" s="121"/>
      <c r="Z59" s="121"/>
      <c r="AA59" s="121"/>
    </row>
    <row r="60" spans="1:27" ht="18.75">
      <c r="A60" s="88"/>
      <c r="B60" s="121">
        <v>3895</v>
      </c>
      <c r="C60" s="121" t="s">
        <v>191</v>
      </c>
      <c r="D60" s="88" t="s">
        <v>434</v>
      </c>
      <c r="E60" s="121">
        <v>55</v>
      </c>
      <c r="F60" s="46" t="s">
        <v>435</v>
      </c>
      <c r="G60" s="26" t="s">
        <v>78</v>
      </c>
      <c r="H60" s="122">
        <v>300000</v>
      </c>
      <c r="I60" s="123"/>
      <c r="J60" s="130" t="str">
        <f>HYPERLINK("https://drive.google.com/open?id=0B2rLR4BADrBtZTZiMl82NTRDdVU","3895")</f>
        <v>3895</v>
      </c>
      <c r="K60" s="132" t="str">
        <f>HYPERLINK("https://drive.google.com/drive/folders/0BwQ57SNHxB3BWEtyNkZyTzdPNXM","3895")</f>
        <v>3895</v>
      </c>
      <c r="L60" s="125"/>
      <c r="M60" s="46"/>
      <c r="N60" s="126"/>
      <c r="O60" s="126"/>
      <c r="P60" s="126"/>
      <c r="Q60" s="126"/>
      <c r="R60" s="126"/>
      <c r="S60" s="126"/>
      <c r="T60" s="128">
        <v>20</v>
      </c>
      <c r="U60" s="128">
        <f t="shared" si="8"/>
        <v>2573</v>
      </c>
      <c r="V60" s="129" t="str">
        <f t="shared" si="7"/>
        <v>38</v>
      </c>
      <c r="W60" s="121">
        <f>COUNTIF('52-62 (สำหรับ จก.ตรวจเยี่ยม)'!$V$4:$V$286,V60)-1</f>
        <v>11</v>
      </c>
      <c r="X60" s="121"/>
      <c r="Y60" s="121"/>
      <c r="Z60" s="121"/>
      <c r="AA60" s="121"/>
    </row>
    <row r="61" spans="1:27" ht="18.75">
      <c r="A61" s="117"/>
      <c r="B61" s="118">
        <v>3900</v>
      </c>
      <c r="C61" s="117"/>
      <c r="D61" s="117" t="str">
        <f>"พัสดุ"&amp; VLOOKUP(V61,'เลขSpec.2 ตัวแรก'!$A$2:$B$100,2,FALSE)&amp; " จำนวน "&amp;W61&amp;" รายการ"</f>
        <v>พัสดุหมวด 39 บริภัณฑ์ยกย้ายพัสดุ จำนวน 15 รายการ</v>
      </c>
      <c r="E61" s="117"/>
      <c r="F61" s="117"/>
      <c r="G61" s="117"/>
      <c r="H61" s="119"/>
      <c r="I61" s="119"/>
      <c r="J61" s="119"/>
      <c r="K61" s="117"/>
      <c r="L61" s="117"/>
      <c r="M61" s="117"/>
      <c r="N61" s="118"/>
      <c r="O61" s="117"/>
      <c r="P61" s="117"/>
      <c r="Q61" s="117"/>
      <c r="R61" s="117"/>
      <c r="S61" s="117"/>
      <c r="T61" s="119"/>
      <c r="U61" s="119"/>
      <c r="V61" s="119" t="str">
        <f t="shared" si="7"/>
        <v>39</v>
      </c>
      <c r="W61" s="117">
        <f>COUNTIF($V$2:$V$286,V61)-1</f>
        <v>15</v>
      </c>
      <c r="X61" s="117"/>
      <c r="Y61" s="121"/>
      <c r="Z61" s="121"/>
      <c r="AA61" s="121"/>
    </row>
    <row r="62" spans="1:27" ht="18.75">
      <c r="A62" s="88"/>
      <c r="B62" s="121">
        <v>3930</v>
      </c>
      <c r="C62" s="121" t="s">
        <v>63</v>
      </c>
      <c r="D62" s="88" t="s">
        <v>450</v>
      </c>
      <c r="E62" s="121">
        <v>58</v>
      </c>
      <c r="F62" s="46" t="s">
        <v>451</v>
      </c>
      <c r="G62" s="26" t="s">
        <v>28</v>
      </c>
      <c r="H62" s="122">
        <f>7245000/7</f>
        <v>1035000</v>
      </c>
      <c r="I62" s="123"/>
      <c r="J62" s="130" t="str">
        <f>HYPERLINK("https://drive.google.com/open?id=0B2vBTVEfSzItQ2c0amNlOG5MbFU","3930")</f>
        <v>3930</v>
      </c>
      <c r="K62" s="133" t="str">
        <f>HYPERLINK("https://drive.google.com/drive/folders/0BwQ57SNHxB3BeGVndk5nUS1tN3c","3930")</f>
        <v>3930</v>
      </c>
      <c r="L62" s="134"/>
      <c r="M62" s="46"/>
      <c r="N62" s="126"/>
      <c r="O62" s="126"/>
      <c r="P62" s="126"/>
      <c r="Q62" s="126"/>
      <c r="R62" s="126"/>
      <c r="S62" s="126"/>
      <c r="T62" s="128"/>
      <c r="U62" s="128">
        <f t="shared" ref="U62:U68" si="9">E62+T62-2+2500</f>
        <v>2556</v>
      </c>
      <c r="V62" s="129" t="str">
        <f t="shared" si="7"/>
        <v>39</v>
      </c>
      <c r="W62" s="121">
        <f t="shared" ref="W62:W68" si="10">COUNTIF($V$4:$V$286,V62)-1</f>
        <v>15</v>
      </c>
      <c r="X62" s="121"/>
      <c r="Y62" s="121"/>
      <c r="Z62" s="121"/>
      <c r="AA62" s="121"/>
    </row>
    <row r="63" spans="1:27" ht="18.75">
      <c r="A63" s="88"/>
      <c r="B63" s="121">
        <v>3930</v>
      </c>
      <c r="C63" s="121" t="s">
        <v>63</v>
      </c>
      <c r="D63" s="88" t="s">
        <v>458</v>
      </c>
      <c r="E63" s="121">
        <v>57</v>
      </c>
      <c r="F63" s="46" t="s">
        <v>459</v>
      </c>
      <c r="G63" s="26" t="s">
        <v>28</v>
      </c>
      <c r="H63" s="122">
        <v>200000</v>
      </c>
      <c r="I63" s="123"/>
      <c r="J63" s="130" t="str">
        <f>HYPERLINK("https://drive.google.com/open?id=0B2rLR4BADrBtV2ZDSkxWaGFkWTA","3930")</f>
        <v>3930</v>
      </c>
      <c r="K63" s="133" t="str">
        <f>HYPERLINK("https://drive.google.com/drive/folders/0BwQ57SNHxB3BeGVndk5nUS1tN3c","3930")</f>
        <v>3930</v>
      </c>
      <c r="L63" s="134"/>
      <c r="M63" s="46"/>
      <c r="N63" s="126"/>
      <c r="O63" s="126"/>
      <c r="P63" s="126"/>
      <c r="Q63" s="126"/>
      <c r="R63" s="126"/>
      <c r="S63" s="126"/>
      <c r="T63" s="128">
        <v>20</v>
      </c>
      <c r="U63" s="128">
        <f t="shared" si="9"/>
        <v>2575</v>
      </c>
      <c r="V63" s="129" t="str">
        <f t="shared" si="7"/>
        <v>39</v>
      </c>
      <c r="W63" s="121">
        <f t="shared" si="10"/>
        <v>15</v>
      </c>
      <c r="X63" s="121"/>
      <c r="Y63" s="121"/>
      <c r="Z63" s="121"/>
      <c r="AA63" s="121"/>
    </row>
    <row r="64" spans="1:27" ht="18.75">
      <c r="A64" s="88"/>
      <c r="B64" s="121">
        <v>3930</v>
      </c>
      <c r="C64" s="121" t="s">
        <v>63</v>
      </c>
      <c r="D64" s="88" t="s">
        <v>466</v>
      </c>
      <c r="E64" s="121">
        <v>60</v>
      </c>
      <c r="F64" s="46" t="s">
        <v>467</v>
      </c>
      <c r="G64" s="26" t="s">
        <v>28</v>
      </c>
      <c r="H64" s="122">
        <v>1800000</v>
      </c>
      <c r="I64" s="123"/>
      <c r="J64" s="130" t="str">
        <f>HYPERLINK("https://drive.google.com/open?id=0B2vBTVEfSzItRVVIbzQ5M0dzM0k","3930")</f>
        <v>3930</v>
      </c>
      <c r="K64" s="134"/>
      <c r="L64" s="134"/>
      <c r="M64" s="46"/>
      <c r="N64" s="126"/>
      <c r="O64" s="126"/>
      <c r="P64" s="126"/>
      <c r="Q64" s="126"/>
      <c r="R64" s="126"/>
      <c r="S64" s="126"/>
      <c r="T64" s="128"/>
      <c r="U64" s="128">
        <f t="shared" si="9"/>
        <v>2558</v>
      </c>
      <c r="V64" s="129" t="str">
        <f t="shared" si="7"/>
        <v>39</v>
      </c>
      <c r="W64" s="121">
        <f t="shared" si="10"/>
        <v>15</v>
      </c>
      <c r="X64" s="121"/>
      <c r="Y64" s="121"/>
      <c r="Z64" s="121"/>
      <c r="AA64" s="121"/>
    </row>
    <row r="65" spans="1:27" ht="18.75">
      <c r="A65" s="88"/>
      <c r="B65" s="121">
        <v>3930</v>
      </c>
      <c r="C65" s="121" t="s">
        <v>63</v>
      </c>
      <c r="D65" s="88" t="s">
        <v>471</v>
      </c>
      <c r="E65" s="121">
        <v>59</v>
      </c>
      <c r="F65" s="46" t="s">
        <v>473</v>
      </c>
      <c r="G65" s="26" t="s">
        <v>28</v>
      </c>
      <c r="H65" s="122">
        <v>760000</v>
      </c>
      <c r="I65" s="123"/>
      <c r="J65" s="130" t="str">
        <f>HYPERLINK("https://drive.google.com/open?id=0B2vBTVEfSzItNFJySE5nWmMySmM","3930")</f>
        <v>3930</v>
      </c>
      <c r="K65" s="134"/>
      <c r="L65" s="134"/>
      <c r="M65" s="46"/>
      <c r="N65" s="126"/>
      <c r="O65" s="126"/>
      <c r="P65" s="126"/>
      <c r="Q65" s="126"/>
      <c r="R65" s="126"/>
      <c r="S65" s="126"/>
      <c r="T65" s="128"/>
      <c r="U65" s="128">
        <f t="shared" si="9"/>
        <v>2557</v>
      </c>
      <c r="V65" s="129" t="str">
        <f t="shared" si="7"/>
        <v>39</v>
      </c>
      <c r="W65" s="121">
        <f t="shared" si="10"/>
        <v>15</v>
      </c>
      <c r="X65" s="121"/>
      <c r="Y65" s="121"/>
      <c r="Z65" s="121"/>
      <c r="AA65" s="121"/>
    </row>
    <row r="66" spans="1:27" ht="18.75">
      <c r="A66" s="88"/>
      <c r="B66" s="121">
        <v>3930</v>
      </c>
      <c r="C66" s="121" t="s">
        <v>63</v>
      </c>
      <c r="D66" s="88" t="s">
        <v>478</v>
      </c>
      <c r="E66" s="121">
        <v>57</v>
      </c>
      <c r="F66" s="46" t="s">
        <v>479</v>
      </c>
      <c r="G66" s="26" t="s">
        <v>28</v>
      </c>
      <c r="H66" s="122">
        <v>960000</v>
      </c>
      <c r="I66" s="123"/>
      <c r="J66" s="130" t="str">
        <f>HYPERLINK("https://drive.google.com/open?id=0B2rLR4BADrBtSkZxTG93ZHNhMk0","3930")</f>
        <v>3930</v>
      </c>
      <c r="K66" s="133" t="str">
        <f>HYPERLINK("https://drive.google.com/drive/folders/0BwQ57SNHxB3BeGVndk5nUS1tN3c","3930")</f>
        <v>3930</v>
      </c>
      <c r="L66" s="134"/>
      <c r="M66" s="46"/>
      <c r="N66" s="126"/>
      <c r="O66" s="126"/>
      <c r="P66" s="126"/>
      <c r="Q66" s="126"/>
      <c r="R66" s="126"/>
      <c r="S66" s="126"/>
      <c r="T66" s="128">
        <v>20</v>
      </c>
      <c r="U66" s="128">
        <f t="shared" si="9"/>
        <v>2575</v>
      </c>
      <c r="V66" s="129" t="str">
        <f t="shared" si="7"/>
        <v>39</v>
      </c>
      <c r="W66" s="121">
        <f t="shared" si="10"/>
        <v>15</v>
      </c>
      <c r="X66" s="121"/>
      <c r="Y66" s="121"/>
      <c r="Z66" s="121"/>
      <c r="AA66" s="121"/>
    </row>
    <row r="67" spans="1:27" ht="18.75">
      <c r="A67" s="88"/>
      <c r="B67" s="121">
        <v>3930</v>
      </c>
      <c r="C67" s="121" t="s">
        <v>63</v>
      </c>
      <c r="D67" s="88" t="s">
        <v>489</v>
      </c>
      <c r="E67" s="121">
        <v>58</v>
      </c>
      <c r="F67" s="46" t="s">
        <v>490</v>
      </c>
      <c r="G67" s="26" t="s">
        <v>28</v>
      </c>
      <c r="H67" s="122">
        <v>760000</v>
      </c>
      <c r="I67" s="123"/>
      <c r="J67" s="130" t="str">
        <f>HYPERLINK("https://drive.google.com/open?id=0B2vBTVEfSzItRktWemFjTzVfYkk","3930")</f>
        <v>3930</v>
      </c>
      <c r="K67" s="133" t="str">
        <f>HYPERLINK("https://drive.google.com/drive/folders/0BwQ57SNHxB3BeGVndk5nUS1tN3c","3930")</f>
        <v>3930</v>
      </c>
      <c r="L67" s="134"/>
      <c r="M67" s="46"/>
      <c r="N67" s="126"/>
      <c r="O67" s="126"/>
      <c r="P67" s="126"/>
      <c r="Q67" s="126"/>
      <c r="R67" s="126"/>
      <c r="S67" s="126"/>
      <c r="T67" s="128">
        <v>20</v>
      </c>
      <c r="U67" s="128">
        <f t="shared" si="9"/>
        <v>2576</v>
      </c>
      <c r="V67" s="129" t="str">
        <f t="shared" si="7"/>
        <v>39</v>
      </c>
      <c r="W67" s="121">
        <f t="shared" si="10"/>
        <v>15</v>
      </c>
      <c r="X67" s="121"/>
      <c r="Y67" s="121"/>
      <c r="Z67" s="121"/>
      <c r="AA67" s="121"/>
    </row>
    <row r="68" spans="1:27" ht="18.75">
      <c r="A68" s="88"/>
      <c r="B68" s="121">
        <v>3930</v>
      </c>
      <c r="C68" s="121" t="s">
        <v>63</v>
      </c>
      <c r="D68" s="88" t="s">
        <v>496</v>
      </c>
      <c r="E68" s="121">
        <v>54</v>
      </c>
      <c r="F68" s="46" t="s">
        <v>498</v>
      </c>
      <c r="G68" s="26" t="s">
        <v>28</v>
      </c>
      <c r="H68" s="122">
        <v>1200000</v>
      </c>
      <c r="I68" s="123"/>
      <c r="J68" s="130" t="str">
        <f>HYPERLINK("https://drive.google.com/open?id=0B2rLR4BADrBtbkk0NWpValV0Rnc","3930")</f>
        <v>3930</v>
      </c>
      <c r="K68" s="133" t="str">
        <f>HYPERLINK("https://drive.google.com/drive/folders/0BwQ57SNHxB3BeGVndk5nUS1tN3c","3930")</f>
        <v>3930</v>
      </c>
      <c r="L68" s="134"/>
      <c r="M68" s="46"/>
      <c r="N68" s="126"/>
      <c r="O68" s="126"/>
      <c r="P68" s="126"/>
      <c r="Q68" s="126"/>
      <c r="R68" s="126"/>
      <c r="S68" s="126"/>
      <c r="T68" s="128">
        <v>20</v>
      </c>
      <c r="U68" s="128">
        <f t="shared" si="9"/>
        <v>2572</v>
      </c>
      <c r="V68" s="129" t="str">
        <f t="shared" si="7"/>
        <v>39</v>
      </c>
      <c r="W68" s="121">
        <f t="shared" si="10"/>
        <v>15</v>
      </c>
      <c r="X68" s="121"/>
      <c r="Y68" s="121"/>
      <c r="Z68" s="121"/>
      <c r="AA68" s="121"/>
    </row>
    <row r="69" spans="1:27" ht="18.75">
      <c r="A69" s="88"/>
      <c r="B69" s="121">
        <v>3930</v>
      </c>
      <c r="C69" s="121" t="s">
        <v>157</v>
      </c>
      <c r="D69" s="88" t="s">
        <v>503</v>
      </c>
      <c r="E69" s="121">
        <v>62</v>
      </c>
      <c r="F69" s="46" t="s">
        <v>504</v>
      </c>
      <c r="G69" s="26" t="s">
        <v>28</v>
      </c>
      <c r="H69" s="122">
        <v>590000</v>
      </c>
      <c r="I69" s="123"/>
      <c r="J69" s="130" t="str">
        <f>HYPERLINK("https://drive.google.com/open?id=1c_0poDZCWGzYUoIJlUi7R8FWWSLCk5Ln","3930")</f>
        <v>3930</v>
      </c>
      <c r="K69" s="134"/>
      <c r="L69" s="134"/>
      <c r="M69" s="46"/>
      <c r="N69" s="126"/>
      <c r="O69" s="126"/>
      <c r="P69" s="126"/>
      <c r="Q69" s="126"/>
      <c r="R69" s="126"/>
      <c r="S69" s="126"/>
      <c r="T69" s="128"/>
      <c r="U69" s="128"/>
      <c r="V69" s="129"/>
      <c r="W69" s="121"/>
      <c r="X69" s="121"/>
      <c r="Y69" s="121"/>
      <c r="Z69" s="121"/>
      <c r="AA69" s="121"/>
    </row>
    <row r="70" spans="1:27" ht="18.75">
      <c r="A70" s="88"/>
      <c r="B70" s="121">
        <v>3930</v>
      </c>
      <c r="C70" s="121" t="s">
        <v>63</v>
      </c>
      <c r="D70" s="88" t="s">
        <v>511</v>
      </c>
      <c r="E70" s="121">
        <v>55</v>
      </c>
      <c r="F70" s="46" t="s">
        <v>512</v>
      </c>
      <c r="G70" s="26" t="s">
        <v>28</v>
      </c>
      <c r="H70" s="122">
        <v>1100000</v>
      </c>
      <c r="I70" s="123"/>
      <c r="J70" s="130" t="str">
        <f>HYPERLINK("https://drive.google.com/open?id=0B2rLR4BADrBtWkh0Uy04U05sVlU","3930")</f>
        <v>3930</v>
      </c>
      <c r="K70" s="133" t="str">
        <f>HYPERLINK("https://drive.google.com/drive/folders/0BwQ57SNHxB3BeGVndk5nUS1tN3c","3930")</f>
        <v>3930</v>
      </c>
      <c r="L70" s="134"/>
      <c r="M70" s="46"/>
      <c r="N70" s="126"/>
      <c r="O70" s="126"/>
      <c r="P70" s="126"/>
      <c r="Q70" s="126"/>
      <c r="R70" s="126"/>
      <c r="S70" s="126"/>
      <c r="T70" s="128">
        <v>20</v>
      </c>
      <c r="U70" s="128">
        <f t="shared" ref="U70:U77" si="11">E70+T70-2+2500</f>
        <v>2573</v>
      </c>
      <c r="V70" s="129" t="str">
        <f t="shared" ref="V70:V78" si="12">LEFT(B70, SEARCH("",B70,2))</f>
        <v>39</v>
      </c>
      <c r="W70" s="121">
        <f t="shared" ref="W70:W77" si="13">COUNTIF($V$4:$V$286,V70)-1</f>
        <v>15</v>
      </c>
      <c r="X70" s="121"/>
      <c r="Y70" s="121"/>
      <c r="Z70" s="121"/>
      <c r="AA70" s="121"/>
    </row>
    <row r="71" spans="1:27" ht="37.5">
      <c r="A71" s="88"/>
      <c r="B71" s="121">
        <v>3930</v>
      </c>
      <c r="C71" s="121" t="s">
        <v>63</v>
      </c>
      <c r="D71" s="88" t="s">
        <v>515</v>
      </c>
      <c r="E71" s="121">
        <v>58</v>
      </c>
      <c r="F71" s="46" t="s">
        <v>516</v>
      </c>
      <c r="G71" s="26" t="s">
        <v>28</v>
      </c>
      <c r="H71" s="122">
        <v>1330000</v>
      </c>
      <c r="I71" s="123"/>
      <c r="J71" s="130" t="str">
        <f>HYPERLINK("https://drive.google.com/open?id=0B2vBTVEfSzItZ3RsNjNxNVh2djQ","3930")</f>
        <v>3930</v>
      </c>
      <c r="K71" s="133" t="str">
        <f>HYPERLINK("https://drive.google.com/drive/folders/0BwQ57SNHxB3BeGVndk5nUS1tN3c","3930")</f>
        <v>3930</v>
      </c>
      <c r="L71" s="134"/>
      <c r="M71" s="46"/>
      <c r="N71" s="126"/>
      <c r="O71" s="126"/>
      <c r="P71" s="126"/>
      <c r="Q71" s="126"/>
      <c r="R71" s="126"/>
      <c r="S71" s="126"/>
      <c r="T71" s="128"/>
      <c r="U71" s="128">
        <f t="shared" si="11"/>
        <v>2556</v>
      </c>
      <c r="V71" s="129" t="str">
        <f t="shared" si="12"/>
        <v>39</v>
      </c>
      <c r="W71" s="121">
        <f t="shared" si="13"/>
        <v>15</v>
      </c>
      <c r="X71" s="121"/>
      <c r="Y71" s="121"/>
      <c r="Z71" s="121"/>
      <c r="AA71" s="121"/>
    </row>
    <row r="72" spans="1:27" ht="18.75">
      <c r="A72" s="88"/>
      <c r="B72" s="121">
        <v>3940</v>
      </c>
      <c r="C72" s="121" t="s">
        <v>157</v>
      </c>
      <c r="D72" s="88" t="s">
        <v>519</v>
      </c>
      <c r="E72" s="121">
        <v>53</v>
      </c>
      <c r="F72" s="46" t="s">
        <v>520</v>
      </c>
      <c r="G72" s="26" t="s">
        <v>48</v>
      </c>
      <c r="H72" s="122">
        <v>4500</v>
      </c>
      <c r="I72" s="123"/>
      <c r="J72" s="124"/>
      <c r="K72" s="132" t="str">
        <f>HYPERLINK("https://drive.google.com/drive/folders/0BwQ57SNHxB3Bb0pMMEVXZzJSZHM","3940")</f>
        <v>3940</v>
      </c>
      <c r="L72" s="125"/>
      <c r="M72" s="46"/>
      <c r="N72" s="126"/>
      <c r="O72" s="126"/>
      <c r="P72" s="126"/>
      <c r="Q72" s="126"/>
      <c r="R72" s="126"/>
      <c r="S72" s="126"/>
      <c r="T72" s="128">
        <v>20</v>
      </c>
      <c r="U72" s="128">
        <f t="shared" si="11"/>
        <v>2571</v>
      </c>
      <c r="V72" s="129" t="str">
        <f t="shared" si="12"/>
        <v>39</v>
      </c>
      <c r="W72" s="121">
        <f t="shared" si="13"/>
        <v>15</v>
      </c>
      <c r="X72" s="121"/>
      <c r="Y72" s="121"/>
      <c r="Z72" s="121"/>
      <c r="AA72" s="121"/>
    </row>
    <row r="73" spans="1:27" ht="18.75">
      <c r="A73" s="88"/>
      <c r="B73" s="121">
        <v>3940</v>
      </c>
      <c r="C73" s="121" t="s">
        <v>157</v>
      </c>
      <c r="D73" s="88" t="s">
        <v>525</v>
      </c>
      <c r="E73" s="121">
        <v>58</v>
      </c>
      <c r="F73" s="46" t="s">
        <v>526</v>
      </c>
      <c r="G73" s="26" t="s">
        <v>48</v>
      </c>
      <c r="H73" s="122">
        <v>13000</v>
      </c>
      <c r="I73" s="123"/>
      <c r="J73" s="130" t="str">
        <f>HYPERLINK("https://drive.google.com/open?id=0B2vBTVEfSzItUmpoekFMcEM4V0U","3940")</f>
        <v>3940</v>
      </c>
      <c r="K73" s="132" t="str">
        <f>HYPERLINK("https://drive.google.com/drive/folders/0BwQ57SNHxB3Bb0pMMEVXZzJSZHM","3940")</f>
        <v>3940</v>
      </c>
      <c r="L73" s="125"/>
      <c r="M73" s="46"/>
      <c r="N73" s="126"/>
      <c r="O73" s="126"/>
      <c r="P73" s="126"/>
      <c r="Q73" s="126"/>
      <c r="R73" s="126"/>
      <c r="S73" s="126"/>
      <c r="T73" s="128">
        <v>20</v>
      </c>
      <c r="U73" s="128">
        <f t="shared" si="11"/>
        <v>2576</v>
      </c>
      <c r="V73" s="129" t="str">
        <f t="shared" si="12"/>
        <v>39</v>
      </c>
      <c r="W73" s="121">
        <f t="shared" si="13"/>
        <v>15</v>
      </c>
      <c r="X73" s="121"/>
      <c r="Y73" s="121"/>
      <c r="Z73" s="121"/>
      <c r="AA73" s="121"/>
    </row>
    <row r="74" spans="1:27" ht="18.75">
      <c r="A74" s="88"/>
      <c r="B74" s="121">
        <v>3940</v>
      </c>
      <c r="C74" s="121" t="s">
        <v>37</v>
      </c>
      <c r="D74" s="88" t="s">
        <v>529</v>
      </c>
      <c r="E74" s="121">
        <v>55</v>
      </c>
      <c r="F74" s="46" t="s">
        <v>531</v>
      </c>
      <c r="G74" s="26" t="s">
        <v>53</v>
      </c>
      <c r="H74" s="122">
        <v>12500</v>
      </c>
      <c r="I74" s="123"/>
      <c r="J74" s="130" t="str">
        <f>HYPERLINK("https://drive.google.com/open?id=0B2rLR4BADrBtNDdGN2dBNjJMS28","3940")</f>
        <v>3940</v>
      </c>
      <c r="K74" s="132" t="str">
        <f>HYPERLINK("https://drive.google.com/drive/folders/0BwQ57SNHxB3Bb0pMMEVXZzJSZHM","3940")</f>
        <v>3940</v>
      </c>
      <c r="L74" s="125"/>
      <c r="M74" s="46"/>
      <c r="N74" s="126"/>
      <c r="O74" s="126"/>
      <c r="P74" s="126"/>
      <c r="Q74" s="126"/>
      <c r="R74" s="126"/>
      <c r="S74" s="126"/>
      <c r="T74" s="128">
        <v>20</v>
      </c>
      <c r="U74" s="128">
        <f t="shared" si="11"/>
        <v>2573</v>
      </c>
      <c r="V74" s="129" t="str">
        <f t="shared" si="12"/>
        <v>39</v>
      </c>
      <c r="W74" s="121">
        <f t="shared" si="13"/>
        <v>15</v>
      </c>
      <c r="X74" s="121"/>
      <c r="Y74" s="121"/>
      <c r="Z74" s="121"/>
      <c r="AA74" s="121"/>
    </row>
    <row r="75" spans="1:27" ht="18.75">
      <c r="A75" s="88"/>
      <c r="B75" s="121">
        <v>3940</v>
      </c>
      <c r="C75" s="121" t="s">
        <v>157</v>
      </c>
      <c r="D75" s="88" t="s">
        <v>535</v>
      </c>
      <c r="E75" s="121">
        <v>55</v>
      </c>
      <c r="F75" s="46" t="s">
        <v>536</v>
      </c>
      <c r="G75" s="26" t="s">
        <v>537</v>
      </c>
      <c r="H75" s="122">
        <v>35000</v>
      </c>
      <c r="I75" s="123"/>
      <c r="J75" s="130" t="str">
        <f>HYPERLINK("https://drive.google.com/open?id=0B2rLR4BADrBtUUNWVG9ZQWNVSGs","3940")</f>
        <v>3940</v>
      </c>
      <c r="K75" s="132" t="str">
        <f>HYPERLINK("https://drive.google.com/drive/folders/0BwQ57SNHxB3Bb0pMMEVXZzJSZHM","3940")</f>
        <v>3940</v>
      </c>
      <c r="L75" s="125"/>
      <c r="M75" s="46"/>
      <c r="N75" s="126"/>
      <c r="O75" s="126"/>
      <c r="P75" s="126"/>
      <c r="Q75" s="126"/>
      <c r="R75" s="126"/>
      <c r="S75" s="126"/>
      <c r="T75" s="128">
        <v>20</v>
      </c>
      <c r="U75" s="128">
        <f t="shared" si="11"/>
        <v>2573</v>
      </c>
      <c r="V75" s="129" t="str">
        <f t="shared" si="12"/>
        <v>39</v>
      </c>
      <c r="W75" s="121">
        <f t="shared" si="13"/>
        <v>15</v>
      </c>
      <c r="X75" s="121"/>
      <c r="Y75" s="121"/>
      <c r="Z75" s="121"/>
      <c r="AA75" s="121"/>
    </row>
    <row r="76" spans="1:27" ht="18.75">
      <c r="A76" s="88"/>
      <c r="B76" s="121">
        <v>3950</v>
      </c>
      <c r="C76" s="121" t="s">
        <v>372</v>
      </c>
      <c r="D76" s="88" t="s">
        <v>542</v>
      </c>
      <c r="E76" s="121">
        <v>58</v>
      </c>
      <c r="F76" s="46" t="s">
        <v>543</v>
      </c>
      <c r="G76" s="26" t="s">
        <v>78</v>
      </c>
      <c r="H76" s="122">
        <v>8000000</v>
      </c>
      <c r="I76" s="123"/>
      <c r="J76" s="130" t="str">
        <f>HYPERLINK("https://drive.google.com/open?id=0B2vBTVEfSzItX25Ca2JtbTBmZlU","3950")</f>
        <v>3950</v>
      </c>
      <c r="K76" s="133" t="str">
        <f>HYPERLINK("https://drive.google.com/drive/folders/0BwQ57SNHxB3BbWVKdVZ3ZEctSUk","3950")</f>
        <v>3950</v>
      </c>
      <c r="L76" s="88" t="s">
        <v>546</v>
      </c>
      <c r="M76" s="46"/>
      <c r="N76" s="126"/>
      <c r="O76" s="126"/>
      <c r="P76" s="126"/>
      <c r="Q76" s="126"/>
      <c r="R76" s="126"/>
      <c r="S76" s="126"/>
      <c r="T76" s="128"/>
      <c r="U76" s="128">
        <f t="shared" si="11"/>
        <v>2556</v>
      </c>
      <c r="V76" s="129" t="str">
        <f t="shared" si="12"/>
        <v>39</v>
      </c>
      <c r="W76" s="121">
        <f t="shared" si="13"/>
        <v>15</v>
      </c>
      <c r="X76" s="121" t="s">
        <v>548</v>
      </c>
      <c r="Y76" s="121"/>
      <c r="Z76" s="121"/>
      <c r="AA76" s="121"/>
    </row>
    <row r="77" spans="1:27" ht="37.5">
      <c r="A77" s="88"/>
      <c r="B77" s="121">
        <v>3960</v>
      </c>
      <c r="C77" s="121" t="s">
        <v>157</v>
      </c>
      <c r="D77" s="88" t="s">
        <v>550</v>
      </c>
      <c r="E77" s="121">
        <v>59</v>
      </c>
      <c r="F77" s="46" t="s">
        <v>551</v>
      </c>
      <c r="G77" s="26" t="s">
        <v>78</v>
      </c>
      <c r="H77" s="122">
        <v>1200000</v>
      </c>
      <c r="I77" s="123"/>
      <c r="J77" s="130" t="str">
        <f>HYPERLINK("https://drive.google.com/open?id=0B2vBTVEfSzItZDdERkpEdDA4OUk","3960")</f>
        <v>3960</v>
      </c>
      <c r="K77" s="132" t="str">
        <f>HYPERLINK("https://drive.google.com/drive/folders/0BwN2QqBc2z4QfmtGczM5ejJFYWlnLVRfN05Gd0RFTVlhNWZxOHc3UFdCZWtranBmemVLd0E","3960")</f>
        <v>3960</v>
      </c>
      <c r="L77" s="125"/>
      <c r="M77" s="93"/>
      <c r="N77" s="126"/>
      <c r="O77" s="126"/>
      <c r="P77" s="126"/>
      <c r="Q77" s="126"/>
      <c r="R77" s="126"/>
      <c r="S77" s="126"/>
      <c r="T77" s="128"/>
      <c r="U77" s="128">
        <f t="shared" si="11"/>
        <v>2557</v>
      </c>
      <c r="V77" s="129" t="str">
        <f t="shared" si="12"/>
        <v>39</v>
      </c>
      <c r="W77" s="121">
        <f t="shared" si="13"/>
        <v>15</v>
      </c>
      <c r="X77" s="121"/>
      <c r="Y77" s="121"/>
      <c r="Z77" s="121"/>
      <c r="AA77" s="121"/>
    </row>
    <row r="78" spans="1:27" ht="18.75">
      <c r="A78" s="118"/>
      <c r="B78" s="117">
        <v>4100</v>
      </c>
      <c r="C78" s="117"/>
      <c r="D78" s="117" t="str">
        <f>"พัสดุ"&amp; VLOOKUP(V78,'เลขSpec.2 ตัวแรก'!$A$2:$B$100,2,FALSE)&amp; " จำนวน "&amp;W78&amp;" รายการ"</f>
        <v>พัสดุหมวด 41 บริภัณฑ์ทำความเย็น การปรับสภาพอากาศ และการถ่ายเทอากาศ จำนวน 21 รายการ</v>
      </c>
      <c r="E78" s="117"/>
      <c r="F78" s="117"/>
      <c r="G78" s="119"/>
      <c r="H78" s="119"/>
      <c r="I78" s="119"/>
      <c r="J78" s="117"/>
      <c r="K78" s="117"/>
      <c r="L78" s="117"/>
      <c r="M78" s="118"/>
      <c r="N78" s="117"/>
      <c r="O78" s="117"/>
      <c r="P78" s="117"/>
      <c r="Q78" s="117"/>
      <c r="R78" s="117"/>
      <c r="S78" s="119"/>
      <c r="T78" s="119"/>
      <c r="U78" s="119"/>
      <c r="V78" s="117" t="str">
        <f t="shared" si="12"/>
        <v>41</v>
      </c>
      <c r="W78" s="117">
        <f>COUNTIF($V$2:$V$286,V78)-1</f>
        <v>21</v>
      </c>
      <c r="X78" s="117"/>
      <c r="Y78" s="121"/>
      <c r="Z78" s="121"/>
      <c r="AA78" s="121"/>
    </row>
    <row r="79" spans="1:27" ht="18.75">
      <c r="A79" s="88"/>
      <c r="B79" s="121">
        <v>4120</v>
      </c>
      <c r="C79" s="121" t="s">
        <v>157</v>
      </c>
      <c r="D79" s="88" t="s">
        <v>558</v>
      </c>
      <c r="E79" s="121">
        <v>62</v>
      </c>
      <c r="F79" s="46" t="s">
        <v>559</v>
      </c>
      <c r="G79" s="26" t="s">
        <v>78</v>
      </c>
      <c r="H79" s="122">
        <v>6700000</v>
      </c>
      <c r="I79" s="123"/>
      <c r="J79" s="131" t="str">
        <f>HYPERLINK("https://drive.google.com/file/d/16m5qNUCe9KMltxy4nlstiI544KHEAjGf/view?usp=sharing","4120")</f>
        <v>4120</v>
      </c>
      <c r="K79" s="125"/>
      <c r="L79" s="125"/>
      <c r="M79" s="46"/>
      <c r="N79" s="126"/>
      <c r="O79" s="126"/>
      <c r="P79" s="126"/>
      <c r="Q79" s="126"/>
      <c r="R79" s="126"/>
      <c r="S79" s="126"/>
      <c r="T79" s="128"/>
      <c r="U79" s="128"/>
      <c r="V79" s="129"/>
      <c r="W79" s="121"/>
      <c r="X79" s="121"/>
      <c r="Y79" s="121"/>
      <c r="Z79" s="121"/>
      <c r="AA79" s="121"/>
    </row>
    <row r="80" spans="1:27" ht="18.75">
      <c r="A80" s="88"/>
      <c r="B80" s="121">
        <v>4120</v>
      </c>
      <c r="C80" s="121" t="s">
        <v>372</v>
      </c>
      <c r="D80" s="88" t="s">
        <v>566</v>
      </c>
      <c r="E80" s="121">
        <v>60</v>
      </c>
      <c r="F80" s="46" t="s">
        <v>567</v>
      </c>
      <c r="G80" s="26" t="s">
        <v>78</v>
      </c>
      <c r="H80" s="122">
        <v>11000000</v>
      </c>
      <c r="I80" s="123"/>
      <c r="J80" s="130" t="str">
        <f>HYPERLINK("https://drive.google.com/open?id=0B2vBTVEfSzItaTdkSEdoa1ZCd0U","4120")</f>
        <v>4120</v>
      </c>
      <c r="K80" s="125"/>
      <c r="L80" s="88" t="s">
        <v>568</v>
      </c>
      <c r="M80" s="46"/>
      <c r="N80" s="126"/>
      <c r="O80" s="126"/>
      <c r="P80" s="126"/>
      <c r="Q80" s="126"/>
      <c r="R80" s="126"/>
      <c r="S80" s="126"/>
      <c r="T80" s="128"/>
      <c r="U80" s="128">
        <f>E80+T80-2+2500</f>
        <v>2558</v>
      </c>
      <c r="V80" s="129" t="str">
        <f>LEFT(B80, SEARCH("",B80,2))</f>
        <v>41</v>
      </c>
      <c r="W80" s="121">
        <f>COUNTIF($V$4:$V$286,V80)-1</f>
        <v>21</v>
      </c>
      <c r="X80" s="121" t="s">
        <v>548</v>
      </c>
      <c r="Y80" s="121"/>
      <c r="Z80" s="121"/>
      <c r="AA80" s="121"/>
    </row>
    <row r="81" spans="1:27" ht="18.75">
      <c r="A81" s="88"/>
      <c r="B81" s="121">
        <v>4120</v>
      </c>
      <c r="C81" s="121" t="s">
        <v>157</v>
      </c>
      <c r="D81" s="88" t="s">
        <v>571</v>
      </c>
      <c r="E81" s="121">
        <v>62</v>
      </c>
      <c r="F81" s="46" t="s">
        <v>573</v>
      </c>
      <c r="G81" s="26" t="s">
        <v>78</v>
      </c>
      <c r="H81" s="122">
        <v>4500000</v>
      </c>
      <c r="I81" s="123"/>
      <c r="J81" s="131" t="str">
        <f>HYPERLINK("https://drive.google.com/file/d/1q7fyuzq1w4Jbaejin2AFtW6QPTMmP_W-/view?usp=sharing","4120")</f>
        <v>4120</v>
      </c>
      <c r="K81" s="125"/>
      <c r="L81" s="125"/>
      <c r="M81" s="46"/>
      <c r="N81" s="126"/>
      <c r="O81" s="126"/>
      <c r="P81" s="126"/>
      <c r="Q81" s="126"/>
      <c r="R81" s="126"/>
      <c r="S81" s="126"/>
      <c r="T81" s="128"/>
      <c r="U81" s="128"/>
      <c r="V81" s="129"/>
      <c r="W81" s="121"/>
      <c r="X81" s="121"/>
      <c r="Y81" s="121"/>
      <c r="Z81" s="121"/>
      <c r="AA81" s="121"/>
    </row>
    <row r="82" spans="1:27" ht="37.5">
      <c r="A82" s="88"/>
      <c r="B82" s="121">
        <v>4120</v>
      </c>
      <c r="C82" s="121" t="s">
        <v>157</v>
      </c>
      <c r="D82" s="88" t="s">
        <v>577</v>
      </c>
      <c r="E82" s="121">
        <v>61</v>
      </c>
      <c r="F82" s="46" t="s">
        <v>578</v>
      </c>
      <c r="G82" s="26" t="s">
        <v>78</v>
      </c>
      <c r="H82" s="122">
        <v>2000000</v>
      </c>
      <c r="I82" s="123"/>
      <c r="J82" s="130" t="str">
        <f>HYPERLINK("https://drive.google.com/open?id=1N50GEbAn-Uj5yQNyPNuUWq7YTOJ0uGtO","4120")</f>
        <v>4120</v>
      </c>
      <c r="K82" s="125"/>
      <c r="L82" s="125"/>
      <c r="M82" s="46"/>
      <c r="N82" s="126"/>
      <c r="O82" s="126"/>
      <c r="P82" s="126"/>
      <c r="Q82" s="126"/>
      <c r="R82" s="126"/>
      <c r="S82" s="126"/>
      <c r="T82" s="128"/>
      <c r="U82" s="128"/>
      <c r="V82" s="129" t="str">
        <f t="shared" ref="V82:V89" si="14">LEFT(B82, SEARCH("",B82,2))</f>
        <v>41</v>
      </c>
      <c r="W82" s="121">
        <f t="shared" ref="W82:W89" si="15">COUNTIF($V$4:$V$286,V82)-1</f>
        <v>21</v>
      </c>
      <c r="X82" s="121"/>
      <c r="Y82" s="121"/>
      <c r="Z82" s="121"/>
      <c r="AA82" s="121"/>
    </row>
    <row r="83" spans="1:27" ht="37.5">
      <c r="A83" s="88"/>
      <c r="B83" s="121">
        <v>4120</v>
      </c>
      <c r="C83" s="121" t="s">
        <v>157</v>
      </c>
      <c r="D83" s="88" t="s">
        <v>583</v>
      </c>
      <c r="E83" s="121">
        <v>59</v>
      </c>
      <c r="F83" s="46" t="s">
        <v>584</v>
      </c>
      <c r="G83" s="26" t="s">
        <v>78</v>
      </c>
      <c r="H83" s="122">
        <v>2500000</v>
      </c>
      <c r="I83" s="123"/>
      <c r="J83" s="130" t="str">
        <f>HYPERLINK("https://drive.google.com/open?id=0B2vBTVEfSzItdl81OTVmMEtkeWM","4120")</f>
        <v>4120</v>
      </c>
      <c r="K83" s="125"/>
      <c r="L83" s="125"/>
      <c r="M83" s="46"/>
      <c r="N83" s="126"/>
      <c r="O83" s="126"/>
      <c r="P83" s="126"/>
      <c r="Q83" s="126"/>
      <c r="R83" s="126"/>
      <c r="S83" s="126"/>
      <c r="T83" s="128"/>
      <c r="U83" s="128">
        <f t="shared" ref="U83:U89" si="16">E83+T83-2+2500</f>
        <v>2557</v>
      </c>
      <c r="V83" s="129" t="str">
        <f t="shared" si="14"/>
        <v>41</v>
      </c>
      <c r="W83" s="121">
        <f t="shared" si="15"/>
        <v>21</v>
      </c>
      <c r="X83" s="121"/>
      <c r="Y83" s="121"/>
      <c r="Z83" s="121"/>
      <c r="AA83" s="121"/>
    </row>
    <row r="84" spans="1:27" ht="18.75">
      <c r="A84" s="88"/>
      <c r="B84" s="121">
        <v>4120</v>
      </c>
      <c r="C84" s="121" t="s">
        <v>157</v>
      </c>
      <c r="D84" s="88" t="s">
        <v>589</v>
      </c>
      <c r="E84" s="121">
        <v>58</v>
      </c>
      <c r="F84" s="46" t="s">
        <v>591</v>
      </c>
      <c r="G84" s="26" t="s">
        <v>78</v>
      </c>
      <c r="H84" s="122">
        <v>220000</v>
      </c>
      <c r="I84" s="123"/>
      <c r="J84" s="130" t="str">
        <f>HYPERLINK("https://drive.google.com/open?id=0B2vBTVEfSzItckRORWFfei1tSDA","4120")</f>
        <v>4120</v>
      </c>
      <c r="K84" s="132" t="str">
        <f>HYPERLINK("https://drive.google.com/drive/folders/0BwQ57SNHxB3BRi1zZjFVWHN6b2c","4120")</f>
        <v>4120</v>
      </c>
      <c r="L84" s="125"/>
      <c r="M84" s="46"/>
      <c r="N84" s="126"/>
      <c r="O84" s="126"/>
      <c r="P84" s="126"/>
      <c r="Q84" s="126"/>
      <c r="R84" s="126"/>
      <c r="S84" s="126"/>
      <c r="T84" s="128">
        <v>20</v>
      </c>
      <c r="U84" s="128">
        <f t="shared" si="16"/>
        <v>2576</v>
      </c>
      <c r="V84" s="129" t="str">
        <f t="shared" si="14"/>
        <v>41</v>
      </c>
      <c r="W84" s="121">
        <f t="shared" si="15"/>
        <v>21</v>
      </c>
      <c r="X84" s="121"/>
      <c r="Y84" s="121"/>
      <c r="Z84" s="121"/>
      <c r="AA84" s="121"/>
    </row>
    <row r="85" spans="1:27" ht="18.75">
      <c r="A85" s="88"/>
      <c r="B85" s="121">
        <v>4120</v>
      </c>
      <c r="C85" s="121" t="s">
        <v>157</v>
      </c>
      <c r="D85" s="88" t="s">
        <v>594</v>
      </c>
      <c r="E85" s="121">
        <v>60</v>
      </c>
      <c r="F85" s="46" t="s">
        <v>595</v>
      </c>
      <c r="G85" s="26" t="s">
        <v>78</v>
      </c>
      <c r="H85" s="122">
        <v>320000</v>
      </c>
      <c r="I85" s="123"/>
      <c r="J85" s="124"/>
      <c r="K85" s="125"/>
      <c r="L85" s="125"/>
      <c r="M85" s="46"/>
      <c r="N85" s="126"/>
      <c r="O85" s="126"/>
      <c r="P85" s="126"/>
      <c r="Q85" s="126"/>
      <c r="R85" s="126"/>
      <c r="S85" s="126"/>
      <c r="T85" s="128"/>
      <c r="U85" s="128">
        <f t="shared" si="16"/>
        <v>2558</v>
      </c>
      <c r="V85" s="129" t="str">
        <f t="shared" si="14"/>
        <v>41</v>
      </c>
      <c r="W85" s="121">
        <f t="shared" si="15"/>
        <v>21</v>
      </c>
      <c r="X85" s="121"/>
      <c r="Y85" s="121"/>
      <c r="Z85" s="121"/>
      <c r="AA85" s="121"/>
    </row>
    <row r="86" spans="1:27" ht="18.75">
      <c r="A86" s="88"/>
      <c r="B86" s="121">
        <v>4120</v>
      </c>
      <c r="C86" s="121" t="s">
        <v>157</v>
      </c>
      <c r="D86" s="88" t="s">
        <v>600</v>
      </c>
      <c r="E86" s="121">
        <v>58</v>
      </c>
      <c r="F86" s="46" t="s">
        <v>601</v>
      </c>
      <c r="G86" s="26" t="s">
        <v>78</v>
      </c>
      <c r="H86" s="122">
        <v>520000</v>
      </c>
      <c r="I86" s="123"/>
      <c r="J86" s="130" t="str">
        <f>HYPERLINK("https://drive.google.com/open?id=0B2vBTVEfSzItclhFZ1FqOUNZM28","4120")</f>
        <v>4120</v>
      </c>
      <c r="K86" s="132" t="str">
        <f>HYPERLINK("https://drive.google.com/drive/folders/0BwQ57SNHxB3BRi1zZjFVWHN6b2c","4120")</f>
        <v>4120</v>
      </c>
      <c r="L86" s="125"/>
      <c r="M86" s="46"/>
      <c r="N86" s="126"/>
      <c r="O86" s="126"/>
      <c r="P86" s="126"/>
      <c r="Q86" s="126"/>
      <c r="R86" s="126"/>
      <c r="S86" s="126"/>
      <c r="T86" s="128">
        <v>20</v>
      </c>
      <c r="U86" s="128">
        <f t="shared" si="16"/>
        <v>2576</v>
      </c>
      <c r="V86" s="129" t="str">
        <f t="shared" si="14"/>
        <v>41</v>
      </c>
      <c r="W86" s="121">
        <f t="shared" si="15"/>
        <v>21</v>
      </c>
      <c r="X86" s="121"/>
      <c r="Y86" s="121"/>
      <c r="Z86" s="121"/>
      <c r="AA86" s="121"/>
    </row>
    <row r="87" spans="1:27" ht="18.75">
      <c r="A87" s="88"/>
      <c r="B87" s="121">
        <v>4120</v>
      </c>
      <c r="C87" s="121" t="s">
        <v>157</v>
      </c>
      <c r="D87" s="88" t="s">
        <v>606</v>
      </c>
      <c r="E87" s="121">
        <v>58</v>
      </c>
      <c r="F87" s="46" t="s">
        <v>607</v>
      </c>
      <c r="G87" s="26" t="s">
        <v>78</v>
      </c>
      <c r="H87" s="122">
        <v>105000</v>
      </c>
      <c r="I87" s="123"/>
      <c r="J87" s="130" t="str">
        <f>HYPERLINK("https://drive.google.com/open?id=0B2vBTVEfSzItWW9tSFBOa19kX28","4120")</f>
        <v>4120</v>
      </c>
      <c r="K87" s="132" t="str">
        <f>HYPERLINK("https://drive.google.com/drive/folders/0BwQ57SNHxB3BRi1zZjFVWHN6b2c","4120")</f>
        <v>4120</v>
      </c>
      <c r="L87" s="125"/>
      <c r="M87" s="46"/>
      <c r="N87" s="126"/>
      <c r="O87" s="126"/>
      <c r="P87" s="126"/>
      <c r="Q87" s="126"/>
      <c r="R87" s="126"/>
      <c r="S87" s="126"/>
      <c r="T87" s="128">
        <v>20</v>
      </c>
      <c r="U87" s="128">
        <f t="shared" si="16"/>
        <v>2576</v>
      </c>
      <c r="V87" s="129" t="str">
        <f t="shared" si="14"/>
        <v>41</v>
      </c>
      <c r="W87" s="121">
        <f t="shared" si="15"/>
        <v>21</v>
      </c>
      <c r="X87" s="121"/>
      <c r="Y87" s="121"/>
      <c r="Z87" s="121"/>
      <c r="AA87" s="121"/>
    </row>
    <row r="88" spans="1:27" ht="18.75">
      <c r="A88" s="88"/>
      <c r="B88" s="121">
        <v>4120</v>
      </c>
      <c r="C88" s="121" t="s">
        <v>157</v>
      </c>
      <c r="D88" s="88" t="s">
        <v>613</v>
      </c>
      <c r="E88" s="121">
        <v>58</v>
      </c>
      <c r="F88" s="46" t="s">
        <v>614</v>
      </c>
      <c r="G88" s="26" t="s">
        <v>78</v>
      </c>
      <c r="H88" s="122">
        <v>195000</v>
      </c>
      <c r="I88" s="123"/>
      <c r="J88" s="130" t="str">
        <f>HYPERLINK("https://drive.google.com/open?id=0B2vBTVEfSzItSFctellyU0pneVE","4120")</f>
        <v>4120</v>
      </c>
      <c r="K88" s="132" t="str">
        <f>HYPERLINK("https://drive.google.com/drive/folders/0BwQ57SNHxB3BRi1zZjFVWHN6b2c","4120")</f>
        <v>4120</v>
      </c>
      <c r="L88" s="125"/>
      <c r="M88" s="46"/>
      <c r="N88" s="126"/>
      <c r="O88" s="126"/>
      <c r="P88" s="126"/>
      <c r="Q88" s="126"/>
      <c r="R88" s="126"/>
      <c r="S88" s="126"/>
      <c r="T88" s="128">
        <v>20</v>
      </c>
      <c r="U88" s="128">
        <f t="shared" si="16"/>
        <v>2576</v>
      </c>
      <c r="V88" s="129" t="str">
        <f t="shared" si="14"/>
        <v>41</v>
      </c>
      <c r="W88" s="121">
        <f t="shared" si="15"/>
        <v>21</v>
      </c>
      <c r="X88" s="121"/>
      <c r="Y88" s="121"/>
      <c r="Z88" s="121"/>
      <c r="AA88" s="121"/>
    </row>
    <row r="89" spans="1:27" ht="18.75">
      <c r="A89" s="88"/>
      <c r="B89" s="121">
        <v>4120</v>
      </c>
      <c r="C89" s="121" t="s">
        <v>157</v>
      </c>
      <c r="D89" s="88" t="s">
        <v>618</v>
      </c>
      <c r="E89" s="121">
        <v>59</v>
      </c>
      <c r="F89" s="46" t="s">
        <v>619</v>
      </c>
      <c r="G89" s="26" t="s">
        <v>78</v>
      </c>
      <c r="H89" s="122">
        <v>70000</v>
      </c>
      <c r="I89" s="123"/>
      <c r="J89" s="124"/>
      <c r="K89" s="125"/>
      <c r="L89" s="125"/>
      <c r="M89" s="46"/>
      <c r="N89" s="126"/>
      <c r="O89" s="126"/>
      <c r="P89" s="126"/>
      <c r="Q89" s="126"/>
      <c r="R89" s="126"/>
      <c r="S89" s="126"/>
      <c r="T89" s="128"/>
      <c r="U89" s="128">
        <f t="shared" si="16"/>
        <v>2557</v>
      </c>
      <c r="V89" s="129" t="str">
        <f t="shared" si="14"/>
        <v>41</v>
      </c>
      <c r="W89" s="121">
        <f t="shared" si="15"/>
        <v>21</v>
      </c>
      <c r="X89" s="121"/>
      <c r="Y89" s="121"/>
      <c r="Z89" s="121"/>
      <c r="AA89" s="121"/>
    </row>
    <row r="90" spans="1:27" ht="112.5">
      <c r="A90" s="88"/>
      <c r="B90" s="121">
        <v>4120</v>
      </c>
      <c r="C90" s="121" t="s">
        <v>157</v>
      </c>
      <c r="D90" s="88" t="s">
        <v>624</v>
      </c>
      <c r="E90" s="121">
        <v>58</v>
      </c>
      <c r="F90" s="46" t="s">
        <v>625</v>
      </c>
      <c r="G90" s="26" t="s">
        <v>78</v>
      </c>
      <c r="H90" s="122">
        <v>56000</v>
      </c>
      <c r="I90" s="123"/>
      <c r="J90" s="124"/>
      <c r="K90" s="132" t="str">
        <f>HYPERLINK("https://drive.google.com/drive/folders/0BwQ57SNHxB3BRi1zZjFVWHN6b2c","4120")</f>
        <v>4120</v>
      </c>
      <c r="L90" s="125"/>
      <c r="M90" s="46"/>
      <c r="N90" s="121">
        <v>4120</v>
      </c>
      <c r="O90" s="121" t="s">
        <v>157</v>
      </c>
      <c r="P90" s="88" t="s">
        <v>630</v>
      </c>
      <c r="Q90" s="121">
        <v>58</v>
      </c>
      <c r="R90" s="24" t="s">
        <v>631</v>
      </c>
      <c r="S90" s="26" t="s">
        <v>78</v>
      </c>
      <c r="T90" s="122">
        <v>70000</v>
      </c>
      <c r="U90" s="139"/>
      <c r="V90" s="140" t="str">
        <f>HYPERLINK("https://drive.google.com/open?id=0B2vBTVEfSzItTGstMUw2LW9vVUE","4120")</f>
        <v>4120</v>
      </c>
      <c r="W90" s="132" t="str">
        <f>HYPERLINK("https://drive.google.com/drive/folders/0BwQ57SNHxB3BRi1zZjFVWHN6b2c","4120")</f>
        <v>4120</v>
      </c>
      <c r="X90" s="141"/>
      <c r="Y90" s="24" t="s">
        <v>634</v>
      </c>
      <c r="Z90" s="142"/>
      <c r="AA90" s="121"/>
    </row>
    <row r="91" spans="1:27" ht="37.5">
      <c r="A91" s="88"/>
      <c r="B91" s="121">
        <v>4120</v>
      </c>
      <c r="C91" s="121" t="s">
        <v>157</v>
      </c>
      <c r="D91" s="88" t="s">
        <v>637</v>
      </c>
      <c r="E91" s="121">
        <v>62</v>
      </c>
      <c r="F91" s="46" t="s">
        <v>638</v>
      </c>
      <c r="G91" s="26" t="s">
        <v>273</v>
      </c>
      <c r="H91" s="122">
        <v>75000</v>
      </c>
      <c r="I91" s="123"/>
      <c r="J91" s="131" t="str">
        <f>HYPERLINK("https://drive.google.com/file/d/13ef4yubp1wV6LxFrWgZU7jBjLwS8DoNW/view","4120")</f>
        <v>4120</v>
      </c>
      <c r="K91" s="125"/>
      <c r="L91" s="125"/>
      <c r="M91" s="46"/>
      <c r="N91" s="126"/>
      <c r="O91" s="126"/>
      <c r="P91" s="126"/>
      <c r="Q91" s="126"/>
      <c r="R91" s="126"/>
      <c r="S91" s="126"/>
      <c r="T91" s="128"/>
      <c r="U91" s="128"/>
      <c r="V91" s="129"/>
      <c r="W91" s="121"/>
      <c r="X91" s="121"/>
      <c r="Y91" s="121"/>
      <c r="Z91" s="121"/>
      <c r="AA91" s="121"/>
    </row>
    <row r="92" spans="1:27" ht="18.75">
      <c r="A92" s="88"/>
      <c r="B92" s="121">
        <v>4120</v>
      </c>
      <c r="C92" s="121" t="s">
        <v>157</v>
      </c>
      <c r="D92" s="88" t="s">
        <v>641</v>
      </c>
      <c r="E92" s="121">
        <v>59</v>
      </c>
      <c r="F92" s="46" t="s">
        <v>642</v>
      </c>
      <c r="G92" s="26" t="s">
        <v>78</v>
      </c>
      <c r="H92" s="122">
        <v>53300</v>
      </c>
      <c r="I92" s="123"/>
      <c r="J92" s="130" t="str">
        <f>HYPERLINK("https://drive.google.com/open?id=0B2vBTVEfSzItaF9HRjRwSWc3dnM","4120")</f>
        <v>4120</v>
      </c>
      <c r="K92" s="125"/>
      <c r="L92" s="125"/>
      <c r="M92" s="46"/>
      <c r="N92" s="126"/>
      <c r="O92" s="126"/>
      <c r="P92" s="126"/>
      <c r="Q92" s="126"/>
      <c r="R92" s="126"/>
      <c r="S92" s="126"/>
      <c r="T92" s="128"/>
      <c r="U92" s="128">
        <f>E92+T92-2+2500</f>
        <v>2557</v>
      </c>
      <c r="V92" s="129" t="str">
        <f>LEFT(B92, SEARCH("",B92,2))</f>
        <v>41</v>
      </c>
      <c r="W92" s="121">
        <f>COUNTIF($V$4:$V$286,V92)-1</f>
        <v>21</v>
      </c>
      <c r="X92" s="121"/>
      <c r="Y92" s="121"/>
      <c r="Z92" s="121"/>
      <c r="AA92" s="121"/>
    </row>
    <row r="93" spans="1:27" ht="18.75">
      <c r="A93" s="88"/>
      <c r="B93" s="121">
        <v>4120</v>
      </c>
      <c r="C93" s="121" t="s">
        <v>157</v>
      </c>
      <c r="D93" s="88" t="s">
        <v>647</v>
      </c>
      <c r="E93" s="121">
        <v>58</v>
      </c>
      <c r="F93" s="46" t="s">
        <v>648</v>
      </c>
      <c r="G93" s="26" t="s">
        <v>78</v>
      </c>
      <c r="H93" s="122">
        <v>57000</v>
      </c>
      <c r="I93" s="123"/>
      <c r="J93" s="124"/>
      <c r="K93" s="132" t="str">
        <f>HYPERLINK("https://drive.google.com/drive/folders/0BwQ57SNHxB3BRi1zZjFVWHN6b2c","4120")</f>
        <v>4120</v>
      </c>
      <c r="L93" s="125"/>
      <c r="M93" s="46"/>
      <c r="N93" s="126"/>
      <c r="O93" s="126"/>
      <c r="P93" s="126"/>
      <c r="Q93" s="126"/>
      <c r="R93" s="126"/>
      <c r="S93" s="126"/>
      <c r="T93" s="135">
        <v>20</v>
      </c>
      <c r="U93" s="135">
        <f>E93+T93-2+2500</f>
        <v>2576</v>
      </c>
      <c r="V93" s="129" t="str">
        <f>LEFT(B93, SEARCH("",B93,2))</f>
        <v>41</v>
      </c>
      <c r="W93" s="121">
        <f>COUNTIF($V$4:$V$286,V93)-1</f>
        <v>21</v>
      </c>
      <c r="X93" s="121"/>
      <c r="Y93" s="121"/>
      <c r="Z93" s="121"/>
      <c r="AA93" s="121"/>
    </row>
    <row r="94" spans="1:27" ht="18.75">
      <c r="A94" s="88"/>
      <c r="B94" s="121">
        <v>4120</v>
      </c>
      <c r="C94" s="121" t="s">
        <v>157</v>
      </c>
      <c r="D94" s="88" t="s">
        <v>653</v>
      </c>
      <c r="E94" s="121">
        <v>58</v>
      </c>
      <c r="F94" s="46" t="s">
        <v>654</v>
      </c>
      <c r="G94" s="26" t="s">
        <v>78</v>
      </c>
      <c r="H94" s="122">
        <v>48000</v>
      </c>
      <c r="I94" s="123"/>
      <c r="J94" s="130" t="str">
        <f>HYPERLINK("https://drive.google.com/open?id=0B2vBTVEfSzItNzBPWEUtNzNJdjA","4120")</f>
        <v>4120</v>
      </c>
      <c r="K94" s="132" t="str">
        <f>HYPERLINK("https://drive.google.com/drive/folders/0BwQ57SNHxB3BRi1zZjFVWHN6b2c","4120")</f>
        <v>4120</v>
      </c>
      <c r="L94" s="125"/>
      <c r="M94" s="46"/>
      <c r="N94" s="126"/>
      <c r="O94" s="126"/>
      <c r="P94" s="126"/>
      <c r="Q94" s="126"/>
      <c r="R94" s="126"/>
      <c r="S94" s="126"/>
      <c r="T94" s="128">
        <v>20</v>
      </c>
      <c r="U94" s="128">
        <f>E94+T94-2+2500</f>
        <v>2576</v>
      </c>
      <c r="V94" s="129" t="str">
        <f>LEFT(B94, SEARCH("",B94,2))</f>
        <v>41</v>
      </c>
      <c r="W94" s="121">
        <f>COUNTIF($V$4:$V$286,V94)-1</f>
        <v>21</v>
      </c>
      <c r="X94" s="121"/>
      <c r="Y94" s="121"/>
      <c r="Z94" s="121"/>
      <c r="AA94" s="121"/>
    </row>
    <row r="95" spans="1:27" ht="18.75">
      <c r="A95" s="88"/>
      <c r="B95" s="121">
        <v>4120</v>
      </c>
      <c r="C95" s="121" t="s">
        <v>157</v>
      </c>
      <c r="D95" s="88" t="s">
        <v>657</v>
      </c>
      <c r="E95" s="121">
        <v>61</v>
      </c>
      <c r="F95" s="46" t="s">
        <v>658</v>
      </c>
      <c r="G95" s="26" t="s">
        <v>78</v>
      </c>
      <c r="H95" s="122">
        <v>58000</v>
      </c>
      <c r="I95" s="123"/>
      <c r="J95" s="124"/>
      <c r="K95" s="125"/>
      <c r="L95" s="125"/>
      <c r="M95" s="46"/>
      <c r="N95" s="126"/>
      <c r="O95" s="126"/>
      <c r="P95" s="126"/>
      <c r="Q95" s="126"/>
      <c r="R95" s="126"/>
      <c r="S95" s="126"/>
      <c r="T95" s="128"/>
      <c r="U95" s="128"/>
      <c r="V95" s="129" t="str">
        <f>LEFT(B95, SEARCH("",B95,2))</f>
        <v>41</v>
      </c>
      <c r="W95" s="121">
        <f>COUNTIF($V$4:$V$286,V95)-1</f>
        <v>21</v>
      </c>
      <c r="X95" s="121"/>
      <c r="Y95" s="121"/>
      <c r="Z95" s="121"/>
      <c r="AA95" s="121"/>
    </row>
    <row r="96" spans="1:27" ht="18.75">
      <c r="A96" s="88"/>
      <c r="B96" s="121">
        <v>4120</v>
      </c>
      <c r="C96" s="121" t="s">
        <v>157</v>
      </c>
      <c r="D96" s="88" t="s">
        <v>663</v>
      </c>
      <c r="E96" s="121">
        <v>62</v>
      </c>
      <c r="F96" s="46" t="s">
        <v>664</v>
      </c>
      <c r="G96" s="26" t="s">
        <v>78</v>
      </c>
      <c r="H96" s="122">
        <v>61000</v>
      </c>
      <c r="I96" s="123"/>
      <c r="J96" s="124"/>
      <c r="K96" s="125"/>
      <c r="L96" s="125"/>
      <c r="M96" s="46"/>
      <c r="N96" s="126"/>
      <c r="O96" s="126"/>
      <c r="P96" s="126"/>
      <c r="Q96" s="126"/>
      <c r="R96" s="126"/>
      <c r="S96" s="126"/>
      <c r="T96" s="128"/>
      <c r="U96" s="128"/>
      <c r="V96" s="129"/>
      <c r="W96" s="121"/>
      <c r="X96" s="121"/>
      <c r="Y96" s="121"/>
      <c r="Z96" s="121"/>
      <c r="AA96" s="121"/>
    </row>
    <row r="97" spans="1:27" ht="18.75">
      <c r="A97" s="88"/>
      <c r="B97" s="121">
        <v>4120</v>
      </c>
      <c r="C97" s="121" t="s">
        <v>157</v>
      </c>
      <c r="D97" s="88" t="s">
        <v>630</v>
      </c>
      <c r="E97" s="121">
        <v>58</v>
      </c>
      <c r="F97" s="46" t="s">
        <v>665</v>
      </c>
      <c r="G97" s="26" t="s">
        <v>78</v>
      </c>
      <c r="H97" s="122">
        <v>70000</v>
      </c>
      <c r="I97" s="123"/>
      <c r="J97" s="124"/>
      <c r="K97" s="132" t="str">
        <f>HYPERLINK("https://drive.google.com/drive/folders/0BwQ57SNHxB3BRi1zZjFVWHN6b2c","4120")</f>
        <v>4120</v>
      </c>
      <c r="L97" s="125"/>
      <c r="M97" s="46"/>
      <c r="N97" s="126"/>
      <c r="O97" s="126"/>
      <c r="P97" s="126"/>
      <c r="Q97" s="126"/>
      <c r="R97" s="126"/>
      <c r="S97" s="126"/>
      <c r="T97" s="128">
        <v>20</v>
      </c>
      <c r="U97" s="128">
        <f>E97+T97-2+2500</f>
        <v>2576</v>
      </c>
      <c r="V97" s="129" t="str">
        <f>LEFT(B97, SEARCH("",B97,2))</f>
        <v>41</v>
      </c>
      <c r="W97" s="121">
        <f>COUNTIF($V$4:$V$286,V97)-1</f>
        <v>21</v>
      </c>
      <c r="X97" s="121"/>
      <c r="Y97" s="121"/>
      <c r="Z97" s="121"/>
      <c r="AA97" s="121"/>
    </row>
    <row r="98" spans="1:27" ht="18.75">
      <c r="A98" s="88"/>
      <c r="B98" s="121">
        <v>4120</v>
      </c>
      <c r="C98" s="121" t="s">
        <v>157</v>
      </c>
      <c r="D98" s="88" t="s">
        <v>666</v>
      </c>
      <c r="E98" s="121">
        <v>62</v>
      </c>
      <c r="F98" s="46" t="s">
        <v>667</v>
      </c>
      <c r="G98" s="26" t="s">
        <v>78</v>
      </c>
      <c r="H98" s="122">
        <v>81300</v>
      </c>
      <c r="I98" s="123"/>
      <c r="J98" s="130" t="str">
        <f>HYPERLINK("https://drive.google.com/open?id=11RHs_UqrYgFbXgAwQOEdDM8-Dl9DWMN1","4120")</f>
        <v>4120</v>
      </c>
      <c r="K98" s="125"/>
      <c r="L98" s="125"/>
      <c r="M98" s="46"/>
      <c r="N98" s="126"/>
      <c r="O98" s="126"/>
      <c r="P98" s="126"/>
      <c r="Q98" s="126"/>
      <c r="R98" s="126"/>
      <c r="S98" s="126"/>
      <c r="T98" s="128"/>
      <c r="U98" s="128"/>
      <c r="V98" s="129"/>
      <c r="W98" s="121"/>
      <c r="X98" s="121"/>
      <c r="Y98" s="121"/>
      <c r="Z98" s="121"/>
      <c r="AA98" s="121"/>
    </row>
    <row r="99" spans="1:27" ht="37.5">
      <c r="A99" s="88"/>
      <c r="B99" s="121">
        <v>4120</v>
      </c>
      <c r="C99" s="121" t="s">
        <v>25</v>
      </c>
      <c r="D99" s="88" t="s">
        <v>26</v>
      </c>
      <c r="E99" s="121"/>
      <c r="F99" s="24" t="s">
        <v>1105</v>
      </c>
      <c r="G99" s="26" t="s">
        <v>78</v>
      </c>
      <c r="H99" s="122">
        <v>23000</v>
      </c>
      <c r="I99" s="123"/>
      <c r="J99" s="124"/>
      <c r="K99" s="125"/>
      <c r="L99" s="125"/>
      <c r="M99" s="46"/>
      <c r="N99" s="126"/>
      <c r="O99" s="126"/>
      <c r="P99" s="126"/>
      <c r="Q99" s="126"/>
      <c r="R99" s="126"/>
      <c r="S99" s="126"/>
      <c r="T99" s="128"/>
      <c r="U99" s="128"/>
      <c r="V99" s="129"/>
      <c r="W99" s="121"/>
      <c r="X99" s="121"/>
      <c r="Y99" s="121"/>
      <c r="Z99" s="121"/>
      <c r="AA99" s="121"/>
    </row>
    <row r="100" spans="1:27" ht="37.5">
      <c r="A100" s="141"/>
      <c r="B100" s="121">
        <v>4120</v>
      </c>
      <c r="C100" s="121" t="s">
        <v>25</v>
      </c>
      <c r="D100" s="88" t="s">
        <v>26</v>
      </c>
      <c r="E100" s="142"/>
      <c r="F100" s="24" t="s">
        <v>1106</v>
      </c>
      <c r="G100" s="26" t="s">
        <v>78</v>
      </c>
      <c r="H100" s="122">
        <v>28600</v>
      </c>
      <c r="I100" s="139"/>
      <c r="J100" s="143"/>
      <c r="K100" s="143"/>
      <c r="L100" s="143"/>
      <c r="M100" s="142"/>
      <c r="N100" s="142"/>
      <c r="O100" s="142"/>
      <c r="P100" s="142"/>
      <c r="Q100" s="142"/>
      <c r="R100" s="142"/>
      <c r="S100" s="142"/>
      <c r="T100" s="142"/>
      <c r="U100" s="142"/>
      <c r="V100" s="129" t="str">
        <f t="shared" ref="V100:V109" si="17">LEFT(B100, SEARCH("",B100,3))</f>
        <v>412</v>
      </c>
      <c r="W100" s="121">
        <f t="shared" ref="W100:W109" si="18">COUNTIF($V$4:$V408,V100)-1</f>
        <v>9</v>
      </c>
      <c r="X100" s="142"/>
      <c r="Y100" s="142"/>
      <c r="Z100" s="142"/>
      <c r="AA100" s="121"/>
    </row>
    <row r="101" spans="1:27" ht="37.5">
      <c r="A101" s="141"/>
      <c r="B101" s="121">
        <v>4120</v>
      </c>
      <c r="C101" s="121" t="s">
        <v>25</v>
      </c>
      <c r="D101" s="88" t="s">
        <v>26</v>
      </c>
      <c r="E101" s="142"/>
      <c r="F101" s="24" t="s">
        <v>1110</v>
      </c>
      <c r="G101" s="26" t="s">
        <v>78</v>
      </c>
      <c r="H101" s="122">
        <v>30600</v>
      </c>
      <c r="I101" s="139"/>
      <c r="J101" s="143"/>
      <c r="K101" s="143"/>
      <c r="L101" s="143"/>
      <c r="M101" s="142"/>
      <c r="N101" s="142"/>
      <c r="O101" s="142"/>
      <c r="P101" s="142"/>
      <c r="Q101" s="142"/>
      <c r="R101" s="142"/>
      <c r="S101" s="142"/>
      <c r="T101" s="142"/>
      <c r="U101" s="142"/>
      <c r="V101" s="129" t="str">
        <f t="shared" si="17"/>
        <v>412</v>
      </c>
      <c r="W101" s="121">
        <f t="shared" si="18"/>
        <v>9</v>
      </c>
      <c r="X101" s="142"/>
      <c r="Y101" s="142"/>
      <c r="Z101" s="142"/>
      <c r="AA101" s="121"/>
    </row>
    <row r="102" spans="1:27" ht="37.5">
      <c r="A102" s="141"/>
      <c r="B102" s="121">
        <v>4120</v>
      </c>
      <c r="C102" s="121" t="s">
        <v>25</v>
      </c>
      <c r="D102" s="88" t="s">
        <v>26</v>
      </c>
      <c r="E102" s="142"/>
      <c r="F102" s="24" t="s">
        <v>1113</v>
      </c>
      <c r="G102" s="26" t="s">
        <v>78</v>
      </c>
      <c r="H102" s="122">
        <v>32400</v>
      </c>
      <c r="I102" s="139"/>
      <c r="J102" s="143"/>
      <c r="K102" s="143"/>
      <c r="L102" s="143"/>
      <c r="M102" s="142"/>
      <c r="N102" s="142"/>
      <c r="O102" s="142"/>
      <c r="P102" s="142"/>
      <c r="Q102" s="142"/>
      <c r="R102" s="142"/>
      <c r="S102" s="142"/>
      <c r="T102" s="142"/>
      <c r="U102" s="142"/>
      <c r="V102" s="129" t="str">
        <f t="shared" si="17"/>
        <v>412</v>
      </c>
      <c r="W102" s="121">
        <f t="shared" si="18"/>
        <v>9</v>
      </c>
      <c r="X102" s="142"/>
      <c r="Y102" s="142"/>
      <c r="Z102" s="142"/>
      <c r="AA102" s="121"/>
    </row>
    <row r="103" spans="1:27" ht="37.5">
      <c r="A103" s="141"/>
      <c r="B103" s="121">
        <v>4120</v>
      </c>
      <c r="C103" s="121" t="s">
        <v>25</v>
      </c>
      <c r="D103" s="88" t="s">
        <v>26</v>
      </c>
      <c r="E103" s="142"/>
      <c r="F103" s="24" t="s">
        <v>1114</v>
      </c>
      <c r="G103" s="26" t="s">
        <v>78</v>
      </c>
      <c r="H103" s="122">
        <v>40200</v>
      </c>
      <c r="I103" s="139"/>
      <c r="J103" s="143"/>
      <c r="K103" s="143"/>
      <c r="L103" s="143"/>
      <c r="M103" s="142"/>
      <c r="N103" s="142"/>
      <c r="O103" s="142"/>
      <c r="P103" s="142"/>
      <c r="Q103" s="142"/>
      <c r="R103" s="142"/>
      <c r="S103" s="142"/>
      <c r="T103" s="142"/>
      <c r="U103" s="142"/>
      <c r="V103" s="129" t="str">
        <f t="shared" si="17"/>
        <v>412</v>
      </c>
      <c r="W103" s="121">
        <f t="shared" si="18"/>
        <v>9</v>
      </c>
      <c r="X103" s="142"/>
      <c r="Y103" s="142"/>
      <c r="Z103" s="142"/>
      <c r="AA103" s="121"/>
    </row>
    <row r="104" spans="1:27" ht="37.5">
      <c r="A104" s="141"/>
      <c r="B104" s="121">
        <v>4120</v>
      </c>
      <c r="C104" s="121" t="s">
        <v>25</v>
      </c>
      <c r="D104" s="88" t="s">
        <v>26</v>
      </c>
      <c r="E104" s="142"/>
      <c r="F104" s="24" t="s">
        <v>1117</v>
      </c>
      <c r="G104" s="26" t="s">
        <v>78</v>
      </c>
      <c r="H104" s="122">
        <v>47000</v>
      </c>
      <c r="I104" s="139"/>
      <c r="J104" s="143"/>
      <c r="K104" s="143"/>
      <c r="L104" s="143"/>
      <c r="M104" s="24"/>
      <c r="N104" s="142"/>
      <c r="O104" s="142"/>
      <c r="P104" s="142"/>
      <c r="Q104" s="142"/>
      <c r="R104" s="142"/>
      <c r="S104" s="142"/>
      <c r="T104" s="142"/>
      <c r="U104" s="142"/>
      <c r="V104" s="129" t="str">
        <f t="shared" si="17"/>
        <v>412</v>
      </c>
      <c r="W104" s="121">
        <f t="shared" si="18"/>
        <v>9</v>
      </c>
      <c r="X104" s="142"/>
      <c r="Y104" s="142"/>
      <c r="Z104" s="142"/>
      <c r="AA104" s="121"/>
    </row>
    <row r="105" spans="1:27" ht="37.5">
      <c r="A105" s="141"/>
      <c r="B105" s="121">
        <v>4120</v>
      </c>
      <c r="C105" s="121" t="s">
        <v>25</v>
      </c>
      <c r="D105" s="88" t="s">
        <v>26</v>
      </c>
      <c r="E105" s="142"/>
      <c r="F105" s="24" t="s">
        <v>1118</v>
      </c>
      <c r="G105" s="26" t="s">
        <v>78</v>
      </c>
      <c r="H105" s="122">
        <v>51200</v>
      </c>
      <c r="I105" s="139"/>
      <c r="J105" s="143"/>
      <c r="K105" s="143"/>
      <c r="L105" s="143"/>
      <c r="M105" s="24"/>
      <c r="N105" s="142"/>
      <c r="O105" s="142"/>
      <c r="P105" s="142"/>
      <c r="Q105" s="142"/>
      <c r="R105" s="142"/>
      <c r="S105" s="142"/>
      <c r="T105" s="142"/>
      <c r="U105" s="142"/>
      <c r="V105" s="129" t="str">
        <f t="shared" si="17"/>
        <v>412</v>
      </c>
      <c r="W105" s="121">
        <f t="shared" si="18"/>
        <v>9</v>
      </c>
      <c r="X105" s="142"/>
      <c r="Y105" s="142"/>
      <c r="Z105" s="142"/>
      <c r="AA105" s="142"/>
    </row>
    <row r="106" spans="1:27" ht="37.5">
      <c r="A106" s="141"/>
      <c r="B106" s="121">
        <v>4120</v>
      </c>
      <c r="C106" s="121" t="s">
        <v>25</v>
      </c>
      <c r="D106" s="88" t="s">
        <v>26</v>
      </c>
      <c r="E106" s="142"/>
      <c r="F106" s="24" t="s">
        <v>1119</v>
      </c>
      <c r="G106" s="26" t="s">
        <v>78</v>
      </c>
      <c r="H106" s="122">
        <v>17000</v>
      </c>
      <c r="I106" s="139"/>
      <c r="J106" s="140" t="str">
        <f>HYPERLINK("https://drive.google.com/open?id=1uRKauPNhvZ-Kx2o2zLSRMFbmPZrJaKkb","จากบัญชีของ สน.งปฯ ธ.ค.61")</f>
        <v>จากบัญชีของ สน.งปฯ ธ.ค.61</v>
      </c>
      <c r="K106" s="143"/>
      <c r="L106" s="143"/>
      <c r="M106" s="142"/>
      <c r="N106" s="142"/>
      <c r="O106" s="142"/>
      <c r="P106" s="142"/>
      <c r="Q106" s="142"/>
      <c r="R106" s="142"/>
      <c r="S106" s="142"/>
      <c r="T106" s="142"/>
      <c r="U106" s="142"/>
      <c r="V106" s="129" t="str">
        <f t="shared" si="17"/>
        <v>412</v>
      </c>
      <c r="W106" s="121">
        <f t="shared" si="18"/>
        <v>9</v>
      </c>
      <c r="X106" s="142"/>
      <c r="Y106" s="142"/>
      <c r="Z106" s="142"/>
      <c r="AA106" s="121"/>
    </row>
    <row r="107" spans="1:27" ht="37.5">
      <c r="A107" s="141"/>
      <c r="B107" s="121">
        <v>4120</v>
      </c>
      <c r="C107" s="121" t="s">
        <v>25</v>
      </c>
      <c r="D107" s="88" t="s">
        <v>26</v>
      </c>
      <c r="E107" s="142"/>
      <c r="F107" s="24" t="s">
        <v>1122</v>
      </c>
      <c r="G107" s="26" t="s">
        <v>78</v>
      </c>
      <c r="H107" s="122">
        <v>21000</v>
      </c>
      <c r="I107" s="139"/>
      <c r="J107" s="140" t="str">
        <f>HYPERLINK("https://drive.google.com/open?id=1uRKauPNhvZ-Kx2o2zLSRMFbmPZrJaKkb","จากบัญชีของ สน.งปฯ ธ.ค.61")</f>
        <v>จากบัญชีของ สน.งปฯ ธ.ค.61</v>
      </c>
      <c r="K107" s="143"/>
      <c r="L107" s="143"/>
      <c r="M107" s="142"/>
      <c r="N107" s="142"/>
      <c r="O107" s="142"/>
      <c r="P107" s="142"/>
      <c r="Q107" s="142"/>
      <c r="R107" s="142"/>
      <c r="S107" s="142"/>
      <c r="T107" s="142"/>
      <c r="U107" s="142"/>
      <c r="V107" s="129" t="str">
        <f t="shared" si="17"/>
        <v>412</v>
      </c>
      <c r="W107" s="121">
        <f t="shared" si="18"/>
        <v>9</v>
      </c>
      <c r="X107" s="142"/>
      <c r="Y107" s="142"/>
      <c r="Z107" s="142"/>
      <c r="AA107" s="121"/>
    </row>
    <row r="108" spans="1:27" ht="37.5">
      <c r="A108" s="141"/>
      <c r="B108" s="121">
        <v>4120</v>
      </c>
      <c r="C108" s="121" t="s">
        <v>25</v>
      </c>
      <c r="D108" s="88" t="s">
        <v>26</v>
      </c>
      <c r="E108" s="142"/>
      <c r="F108" s="24" t="s">
        <v>1123</v>
      </c>
      <c r="G108" s="26" t="s">
        <v>78</v>
      </c>
      <c r="H108" s="122">
        <v>20000</v>
      </c>
      <c r="I108" s="139"/>
      <c r="J108" s="140" t="str">
        <f>HYPERLINK("https://drive.google.com/open?id=1uRKauPNhvZ-Kx2o2zLSRMFbmPZrJaKkb","จากบัญชีของ สน.งปฯ ธ.ค.61")</f>
        <v>จากบัญชีของ สน.งปฯ ธ.ค.61</v>
      </c>
      <c r="K108" s="143"/>
      <c r="L108" s="143"/>
      <c r="M108" s="142"/>
      <c r="N108" s="142"/>
      <c r="O108" s="142"/>
      <c r="P108" s="142"/>
      <c r="Q108" s="142"/>
      <c r="R108" s="142"/>
      <c r="S108" s="142"/>
      <c r="T108" s="142"/>
      <c r="U108" s="142"/>
      <c r="V108" s="129" t="str">
        <f t="shared" si="17"/>
        <v>412</v>
      </c>
      <c r="W108" s="121">
        <f t="shared" si="18"/>
        <v>9</v>
      </c>
      <c r="X108" s="142"/>
      <c r="Y108" s="142"/>
      <c r="Z108" s="142"/>
      <c r="AA108" s="24"/>
    </row>
    <row r="109" spans="1:27" ht="37.5">
      <c r="A109" s="141"/>
      <c r="B109" s="121">
        <v>4120</v>
      </c>
      <c r="C109" s="121" t="s">
        <v>25</v>
      </c>
      <c r="D109" s="88" t="s">
        <v>26</v>
      </c>
      <c r="E109" s="142"/>
      <c r="F109" s="24" t="s">
        <v>1124</v>
      </c>
      <c r="G109" s="26" t="s">
        <v>78</v>
      </c>
      <c r="H109" s="122">
        <v>28000</v>
      </c>
      <c r="I109" s="139"/>
      <c r="J109" s="140" t="str">
        <f>HYPERLINK("https://drive.google.com/open?id=1uRKauPNhvZ-Kx2o2zLSRMFbmPZrJaKkb","จากบัญชีของ สน.งปฯ ธ.ค.61")</f>
        <v>จากบัญชีของ สน.งปฯ ธ.ค.61</v>
      </c>
      <c r="K109" s="143"/>
      <c r="L109" s="143"/>
      <c r="M109" s="142"/>
      <c r="N109" s="142"/>
      <c r="O109" s="142"/>
      <c r="P109" s="142"/>
      <c r="Q109" s="142"/>
      <c r="R109" s="142"/>
      <c r="S109" s="142"/>
      <c r="T109" s="142"/>
      <c r="U109" s="142"/>
      <c r="V109" s="129" t="str">
        <f t="shared" si="17"/>
        <v>412</v>
      </c>
      <c r="W109" s="121">
        <f t="shared" si="18"/>
        <v>9</v>
      </c>
      <c r="X109" s="142"/>
      <c r="Y109" s="142"/>
      <c r="Z109" s="142"/>
      <c r="AA109" s="24"/>
    </row>
    <row r="110" spans="1:27" ht="18.75">
      <c r="A110" s="88"/>
      <c r="B110" s="121">
        <v>4120</v>
      </c>
      <c r="C110" s="121" t="s">
        <v>157</v>
      </c>
      <c r="D110" s="88" t="s">
        <v>668</v>
      </c>
      <c r="E110" s="121">
        <v>58</v>
      </c>
      <c r="F110" s="46" t="s">
        <v>669</v>
      </c>
      <c r="G110" s="26" t="s">
        <v>78</v>
      </c>
      <c r="H110" s="122">
        <v>210000</v>
      </c>
      <c r="I110" s="123"/>
      <c r="J110" s="124"/>
      <c r="K110" s="132" t="str">
        <f>HYPERLINK("https://drive.google.com/drive/folders/0BwQ57SNHxB3BRi1zZjFVWHN6b2c","4120")</f>
        <v>4120</v>
      </c>
      <c r="L110" s="125"/>
      <c r="M110" s="46"/>
      <c r="N110" s="126"/>
      <c r="O110" s="126"/>
      <c r="P110" s="126"/>
      <c r="Q110" s="126"/>
      <c r="R110" s="126"/>
      <c r="S110" s="126"/>
      <c r="T110" s="128">
        <v>20</v>
      </c>
      <c r="U110" s="128">
        <f t="shared" ref="U110:U116" si="19">E110+T110-2+2500</f>
        <v>2576</v>
      </c>
      <c r="V110" s="129" t="str">
        <f t="shared" ref="V110:V117" si="20">LEFT(B110, SEARCH("",B110,2))</f>
        <v>41</v>
      </c>
      <c r="W110" s="121">
        <f t="shared" ref="W110:W116" si="21">COUNTIF($V$4:$V$286,V110)-1</f>
        <v>21</v>
      </c>
      <c r="X110" s="121"/>
      <c r="Y110" s="121"/>
      <c r="Z110" s="121"/>
      <c r="AA110" s="121"/>
    </row>
    <row r="111" spans="1:27" ht="18.75">
      <c r="A111" s="88"/>
      <c r="B111" s="121">
        <v>4120</v>
      </c>
      <c r="C111" s="121" t="s">
        <v>157</v>
      </c>
      <c r="D111" s="88" t="s">
        <v>670</v>
      </c>
      <c r="E111" s="121">
        <v>58</v>
      </c>
      <c r="F111" s="46" t="s">
        <v>671</v>
      </c>
      <c r="G111" s="26" t="s">
        <v>78</v>
      </c>
      <c r="H111" s="122">
        <v>295000</v>
      </c>
      <c r="I111" s="123"/>
      <c r="J111" s="130" t="str">
        <f>HYPERLINK("https://drive.google.com/open?id=0B2vBTVEfSzItM1ZIRDlhVlZjSUE","4120")</f>
        <v>4120</v>
      </c>
      <c r="K111" s="132" t="str">
        <f>HYPERLINK("https://drive.google.com/drive/folders/0BwQ57SNHxB3BRi1zZjFVWHN6b2c","4120")</f>
        <v>4120</v>
      </c>
      <c r="L111" s="125"/>
      <c r="M111" s="46"/>
      <c r="N111" s="126"/>
      <c r="O111" s="126"/>
      <c r="P111" s="126"/>
      <c r="Q111" s="126"/>
      <c r="R111" s="126"/>
      <c r="S111" s="126"/>
      <c r="T111" s="128">
        <v>20</v>
      </c>
      <c r="U111" s="128">
        <f t="shared" si="19"/>
        <v>2576</v>
      </c>
      <c r="V111" s="129" t="str">
        <f t="shared" si="20"/>
        <v>41</v>
      </c>
      <c r="W111" s="121">
        <f t="shared" si="21"/>
        <v>21</v>
      </c>
      <c r="X111" s="121"/>
      <c r="Y111" s="121"/>
      <c r="Z111" s="121"/>
      <c r="AA111" s="121"/>
    </row>
    <row r="112" spans="1:27" ht="18.75">
      <c r="A112" s="88"/>
      <c r="B112" s="121">
        <v>4120</v>
      </c>
      <c r="C112" s="121" t="s">
        <v>157</v>
      </c>
      <c r="D112" s="88" t="s">
        <v>672</v>
      </c>
      <c r="E112" s="121">
        <v>58</v>
      </c>
      <c r="F112" s="46" t="s">
        <v>673</v>
      </c>
      <c r="G112" s="26" t="s">
        <v>78</v>
      </c>
      <c r="H112" s="122">
        <v>385000</v>
      </c>
      <c r="I112" s="123"/>
      <c r="J112" s="130" t="str">
        <f>HYPERLINK("https://drive.google.com/open?id=0B2vBTVEfSzItUWtqd2xVX1JCTFE","4120")</f>
        <v>4120</v>
      </c>
      <c r="K112" s="132" t="str">
        <f>HYPERLINK("https://drive.google.com/drive/folders/0BwQ57SNHxB3BRi1zZjFVWHN6b2c","4120")</f>
        <v>4120</v>
      </c>
      <c r="L112" s="125"/>
      <c r="M112" s="46"/>
      <c r="N112" s="126"/>
      <c r="O112" s="126"/>
      <c r="P112" s="126"/>
      <c r="Q112" s="126"/>
      <c r="R112" s="126"/>
      <c r="S112" s="126"/>
      <c r="T112" s="128">
        <v>20</v>
      </c>
      <c r="U112" s="128">
        <f t="shared" si="19"/>
        <v>2576</v>
      </c>
      <c r="V112" s="129" t="str">
        <f t="shared" si="20"/>
        <v>41</v>
      </c>
      <c r="W112" s="121">
        <f t="shared" si="21"/>
        <v>21</v>
      </c>
      <c r="X112" s="121"/>
      <c r="Y112" s="121"/>
      <c r="Z112" s="121"/>
      <c r="AA112" s="121"/>
    </row>
    <row r="113" spans="1:27" ht="18.75">
      <c r="A113" s="88"/>
      <c r="B113" s="121">
        <v>4120</v>
      </c>
      <c r="C113" s="121" t="s">
        <v>157</v>
      </c>
      <c r="D113" s="88" t="s">
        <v>674</v>
      </c>
      <c r="E113" s="121">
        <v>59</v>
      </c>
      <c r="F113" s="46" t="s">
        <v>675</v>
      </c>
      <c r="G113" s="26" t="s">
        <v>78</v>
      </c>
      <c r="H113" s="122">
        <v>750000</v>
      </c>
      <c r="I113" s="123"/>
      <c r="J113" s="130" t="str">
        <f>HYPERLINK("https://drive.google.com/open?id=0B2vBTVEfSzIta1ZwVU9oT3liOVk","4120")</f>
        <v>4120</v>
      </c>
      <c r="K113" s="132" t="str">
        <f>HYPERLINK("https://drive.google.com/drive/folders/0BwQ57SNHxB3BRi1zZjFVWHN6b2c","4120")</f>
        <v>4120</v>
      </c>
      <c r="L113" s="125"/>
      <c r="M113" s="46"/>
      <c r="N113" s="126"/>
      <c r="O113" s="126"/>
      <c r="P113" s="126"/>
      <c r="Q113" s="126"/>
      <c r="R113" s="126"/>
      <c r="S113" s="126"/>
      <c r="T113" s="128"/>
      <c r="U113" s="128">
        <f t="shared" si="19"/>
        <v>2557</v>
      </c>
      <c r="V113" s="129" t="str">
        <f t="shared" si="20"/>
        <v>41</v>
      </c>
      <c r="W113" s="121">
        <f t="shared" si="21"/>
        <v>21</v>
      </c>
      <c r="X113" s="121"/>
      <c r="Y113" s="121"/>
      <c r="Z113" s="121"/>
      <c r="AA113" s="142"/>
    </row>
    <row r="114" spans="1:27" ht="18.75">
      <c r="A114" s="88"/>
      <c r="B114" s="121">
        <v>4140</v>
      </c>
      <c r="C114" s="121" t="s">
        <v>157</v>
      </c>
      <c r="D114" s="88" t="s">
        <v>676</v>
      </c>
      <c r="E114" s="121">
        <v>52</v>
      </c>
      <c r="F114" s="46" t="s">
        <v>677</v>
      </c>
      <c r="G114" s="26" t="s">
        <v>78</v>
      </c>
      <c r="H114" s="122">
        <v>12000</v>
      </c>
      <c r="I114" s="123"/>
      <c r="J114" s="130" t="str">
        <f>HYPERLINK("https://drive.google.com/open?id=0B2rLR4BADrBtaXltMVBlREhyWE0","4140")</f>
        <v>4140</v>
      </c>
      <c r="K114" s="132" t="str">
        <f>HYPERLINK("https://drive.google.com/drive/folders/0BwQ57SNHxB3BRHd1bXpsczNtaXM","4140")</f>
        <v>4140</v>
      </c>
      <c r="L114" s="125"/>
      <c r="M114" s="46"/>
      <c r="N114" s="126"/>
      <c r="O114" s="126"/>
      <c r="P114" s="126"/>
      <c r="Q114" s="126"/>
      <c r="R114" s="126"/>
      <c r="S114" s="126"/>
      <c r="T114" s="128">
        <v>15</v>
      </c>
      <c r="U114" s="128">
        <f t="shared" si="19"/>
        <v>2565</v>
      </c>
      <c r="V114" s="129" t="str">
        <f t="shared" si="20"/>
        <v>41</v>
      </c>
      <c r="W114" s="121">
        <f t="shared" si="21"/>
        <v>21</v>
      </c>
      <c r="X114" s="121"/>
      <c r="Y114" s="121"/>
      <c r="Z114" s="121"/>
      <c r="AA114" s="121"/>
    </row>
    <row r="115" spans="1:27" ht="18.75">
      <c r="A115" s="88"/>
      <c r="B115" s="121">
        <v>4140</v>
      </c>
      <c r="C115" s="121" t="s">
        <v>372</v>
      </c>
      <c r="D115" s="88" t="s">
        <v>678</v>
      </c>
      <c r="E115" s="121">
        <v>56</v>
      </c>
      <c r="F115" s="46" t="s">
        <v>679</v>
      </c>
      <c r="G115" s="26" t="s">
        <v>48</v>
      </c>
      <c r="H115" s="122">
        <v>35000</v>
      </c>
      <c r="I115" s="123"/>
      <c r="J115" s="130" t="str">
        <f>HYPERLINK("https://drive.google.com/open?id=0B2rLR4BADrBtVURWQzBTWEwyOFU","4140")</f>
        <v>4140</v>
      </c>
      <c r="K115" s="132" t="str">
        <f>HYPERLINK("https://drive.google.com/drive/folders/0BwQ57SNHxB3BRHd1bXpsczNtaXM","4140")</f>
        <v>4140</v>
      </c>
      <c r="L115" s="88" t="s">
        <v>680</v>
      </c>
      <c r="M115" s="46"/>
      <c r="N115" s="126"/>
      <c r="O115" s="126"/>
      <c r="P115" s="126"/>
      <c r="Q115" s="126"/>
      <c r="R115" s="126"/>
      <c r="S115" s="126"/>
      <c r="T115" s="128">
        <v>15</v>
      </c>
      <c r="U115" s="128">
        <f t="shared" si="19"/>
        <v>2569</v>
      </c>
      <c r="V115" s="129" t="str">
        <f t="shared" si="20"/>
        <v>41</v>
      </c>
      <c r="W115" s="121">
        <f t="shared" si="21"/>
        <v>21</v>
      </c>
      <c r="X115" s="121" t="s">
        <v>548</v>
      </c>
      <c r="Y115" s="121"/>
      <c r="Z115" s="121"/>
      <c r="AA115" s="121"/>
    </row>
    <row r="116" spans="1:27" ht="37.5">
      <c r="A116" s="88"/>
      <c r="B116" s="121">
        <v>4140</v>
      </c>
      <c r="C116" s="121" t="s">
        <v>157</v>
      </c>
      <c r="D116" s="88" t="s">
        <v>681</v>
      </c>
      <c r="E116" s="121">
        <v>58</v>
      </c>
      <c r="F116" s="46" t="s">
        <v>682</v>
      </c>
      <c r="G116" s="26" t="s">
        <v>78</v>
      </c>
      <c r="H116" s="122">
        <v>19500</v>
      </c>
      <c r="I116" s="123"/>
      <c r="J116" s="130" t="str">
        <f>HYPERLINK("https://drive.google.com/open?id=0B2vBTVEfSzItbjNiZ2pTb3ZlZ2s","4140")</f>
        <v>4140</v>
      </c>
      <c r="K116" s="132" t="str">
        <f>HYPERLINK("https://drive.google.com/drive/folders/0BwQ57SNHxB3BRHd1bXpsczNtaXM","4140")</f>
        <v>4140</v>
      </c>
      <c r="L116" s="125"/>
      <c r="M116" s="46"/>
      <c r="N116" s="126"/>
      <c r="O116" s="126"/>
      <c r="P116" s="126"/>
      <c r="Q116" s="126"/>
      <c r="R116" s="126"/>
      <c r="S116" s="126"/>
      <c r="T116" s="128"/>
      <c r="U116" s="128">
        <f t="shared" si="19"/>
        <v>2556</v>
      </c>
      <c r="V116" s="129" t="str">
        <f t="shared" si="20"/>
        <v>41</v>
      </c>
      <c r="W116" s="121">
        <f t="shared" si="21"/>
        <v>21</v>
      </c>
      <c r="X116" s="121"/>
      <c r="Y116" s="121"/>
      <c r="Z116" s="121"/>
      <c r="AA116" s="121"/>
    </row>
    <row r="117" spans="1:27" ht="18.75">
      <c r="A117" s="117"/>
      <c r="B117" s="117">
        <v>4200</v>
      </c>
      <c r="C117" s="117"/>
      <c r="D117" s="117" t="str">
        <f>"พัสดุ"&amp; VLOOKUP(V117,'เลขSpec.2 ตัวแรก'!$A$2:$B$100,2,FALSE)&amp; " จำนวน "&amp;W117&amp;" รายการ"</f>
        <v>พัสดุหมวด 42 บริภัณฑ์ดับเพลิง กู้ภัยและนิรภัย จำนวน 8 รายการ</v>
      </c>
      <c r="E117" s="117"/>
      <c r="F117" s="119"/>
      <c r="G117" s="119"/>
      <c r="H117" s="119"/>
      <c r="I117" s="117"/>
      <c r="J117" s="117"/>
      <c r="K117" s="117"/>
      <c r="L117" s="118"/>
      <c r="M117" s="117"/>
      <c r="N117" s="117"/>
      <c r="O117" s="117"/>
      <c r="P117" s="117"/>
      <c r="Q117" s="117"/>
      <c r="R117" s="119"/>
      <c r="S117" s="119"/>
      <c r="T117" s="119"/>
      <c r="U117" s="117"/>
      <c r="V117" s="117" t="str">
        <f t="shared" si="20"/>
        <v>42</v>
      </c>
      <c r="W117" s="117">
        <f>COUNTIF($V$2:$V$286,V117)-1</f>
        <v>8</v>
      </c>
      <c r="X117" s="118"/>
      <c r="Y117" s="24"/>
      <c r="Z117" s="24"/>
      <c r="AA117" s="121"/>
    </row>
    <row r="118" spans="1:27" ht="18.75">
      <c r="A118" s="88"/>
      <c r="B118" s="121">
        <v>4210</v>
      </c>
      <c r="C118" s="121" t="s">
        <v>683</v>
      </c>
      <c r="D118" s="88" t="s">
        <v>684</v>
      </c>
      <c r="E118" s="121">
        <v>62</v>
      </c>
      <c r="F118" s="46" t="s">
        <v>685</v>
      </c>
      <c r="G118" s="26" t="s">
        <v>78</v>
      </c>
      <c r="H118" s="122">
        <v>12000</v>
      </c>
      <c r="I118" s="123"/>
      <c r="J118" s="130" t="str">
        <f>HYPERLINK("https://drive.google.com/open?id=1B1Cb4onzGYSs63hXv3XkOUGd338dY7x8","4210")</f>
        <v>4210</v>
      </c>
      <c r="K118" s="125"/>
      <c r="L118" s="125"/>
      <c r="M118" s="46"/>
      <c r="N118" s="126"/>
      <c r="O118" s="126"/>
      <c r="P118" s="126"/>
      <c r="Q118" s="126"/>
      <c r="R118" s="126"/>
      <c r="S118" s="126"/>
      <c r="T118" s="135"/>
      <c r="U118" s="128"/>
      <c r="V118" s="129"/>
      <c r="W118" s="121"/>
      <c r="X118" s="121"/>
      <c r="Y118" s="121"/>
      <c r="Z118" s="121"/>
      <c r="AA118" s="142"/>
    </row>
    <row r="119" spans="1:27" ht="18.75">
      <c r="A119" s="88"/>
      <c r="B119" s="121">
        <v>4210</v>
      </c>
      <c r="C119" s="121" t="s">
        <v>683</v>
      </c>
      <c r="D119" s="88" t="s">
        <v>686</v>
      </c>
      <c r="E119" s="121">
        <v>62</v>
      </c>
      <c r="F119" s="46" t="s">
        <v>687</v>
      </c>
      <c r="G119" s="26" t="s">
        <v>78</v>
      </c>
      <c r="H119" s="122">
        <v>15000</v>
      </c>
      <c r="I119" s="123"/>
      <c r="J119" s="130" t="str">
        <f>HYPERLINK("https://drive.google.com/open?id=1Dw-glgdH9YW7s62NQ0II496Pr8n70jxp","4210")</f>
        <v>4210</v>
      </c>
      <c r="K119" s="125"/>
      <c r="L119" s="125"/>
      <c r="M119" s="46"/>
      <c r="N119" s="126"/>
      <c r="O119" s="126"/>
      <c r="P119" s="126"/>
      <c r="Q119" s="126"/>
      <c r="R119" s="126"/>
      <c r="S119" s="126"/>
      <c r="T119" s="135"/>
      <c r="U119" s="128"/>
      <c r="V119" s="129"/>
      <c r="W119" s="121"/>
      <c r="X119" s="121"/>
      <c r="Y119" s="121"/>
      <c r="Z119" s="121"/>
      <c r="AA119" s="142"/>
    </row>
    <row r="120" spans="1:27" ht="18.75">
      <c r="A120" s="88"/>
      <c r="B120" s="121">
        <v>4210</v>
      </c>
      <c r="C120" s="121" t="s">
        <v>683</v>
      </c>
      <c r="D120" s="88" t="s">
        <v>688</v>
      </c>
      <c r="E120" s="121">
        <v>60</v>
      </c>
      <c r="F120" s="46" t="s">
        <v>689</v>
      </c>
      <c r="G120" s="26" t="s">
        <v>28</v>
      </c>
      <c r="H120" s="122">
        <v>6900000</v>
      </c>
      <c r="I120" s="123"/>
      <c r="J120" s="130" t="str">
        <f>HYPERLINK("https://drive.google.com/open?id=0B2vBTVEfSzItUDMzUmN6U3BqZWM","4210")</f>
        <v>4210</v>
      </c>
      <c r="K120" s="125"/>
      <c r="L120" s="125"/>
      <c r="M120" s="46"/>
      <c r="N120" s="126"/>
      <c r="O120" s="126"/>
      <c r="P120" s="126"/>
      <c r="Q120" s="126"/>
      <c r="R120" s="126"/>
      <c r="S120" s="126"/>
      <c r="T120" s="135"/>
      <c r="U120" s="135">
        <f>E120+T120-2+2500</f>
        <v>2558</v>
      </c>
      <c r="V120" s="129" t="str">
        <f>LEFT(B120, SEARCH("",B120,2))</f>
        <v>42</v>
      </c>
      <c r="W120" s="121">
        <f>COUNTIF($V$4:$V$286,V120)-1</f>
        <v>8</v>
      </c>
      <c r="X120" s="121"/>
      <c r="Y120" s="121"/>
      <c r="Z120" s="121"/>
      <c r="AA120" s="142"/>
    </row>
    <row r="121" spans="1:27" ht="18.75">
      <c r="A121" s="88"/>
      <c r="B121" s="121">
        <v>4210</v>
      </c>
      <c r="C121" s="121" t="s">
        <v>683</v>
      </c>
      <c r="D121" s="88" t="s">
        <v>692</v>
      </c>
      <c r="E121" s="121">
        <v>60</v>
      </c>
      <c r="F121" s="46" t="s">
        <v>693</v>
      </c>
      <c r="G121" s="26" t="s">
        <v>28</v>
      </c>
      <c r="H121" s="122">
        <v>2500000</v>
      </c>
      <c r="I121" s="123"/>
      <c r="J121" s="130" t="str">
        <f>HYPERLINK("https://drive.google.com/open?id=0B2vBTVEfSzItX0lEQXlyOS1LV00","4210")</f>
        <v>4210</v>
      </c>
      <c r="K121" s="125"/>
      <c r="L121" s="125"/>
      <c r="M121" s="46"/>
      <c r="N121" s="126"/>
      <c r="O121" s="126"/>
      <c r="P121" s="126"/>
      <c r="Q121" s="126"/>
      <c r="R121" s="126"/>
      <c r="S121" s="126"/>
      <c r="T121" s="135"/>
      <c r="U121" s="135">
        <f>E121+T121-2+2500</f>
        <v>2558</v>
      </c>
      <c r="V121" s="129" t="str">
        <f>LEFT(B121, SEARCH("",B121,2))</f>
        <v>42</v>
      </c>
      <c r="W121" s="121">
        <f>COUNTIF('52-62 (สำหรับ จก.ตรวจเยี่ยม)'!$V$4:$V$286,V121)-1</f>
        <v>8</v>
      </c>
      <c r="X121" s="121"/>
      <c r="Y121" s="121"/>
      <c r="Z121" s="121"/>
      <c r="AA121" s="142"/>
    </row>
    <row r="122" spans="1:27" ht="18.75">
      <c r="A122" s="88"/>
      <c r="B122" s="121">
        <v>4210</v>
      </c>
      <c r="C122" s="121" t="s">
        <v>683</v>
      </c>
      <c r="D122" s="88" t="s">
        <v>694</v>
      </c>
      <c r="E122" s="121">
        <v>59</v>
      </c>
      <c r="F122" s="46" t="s">
        <v>695</v>
      </c>
      <c r="G122" s="26" t="s">
        <v>28</v>
      </c>
      <c r="H122" s="122">
        <v>32000000</v>
      </c>
      <c r="I122" s="123">
        <v>42591</v>
      </c>
      <c r="J122" s="130" t="str">
        <f>HYPERLINK("https://drive.google.com/open?id=0B2vBTVEfSzItWWxNaU9GNFZ0YkU","4210")</f>
        <v>4210</v>
      </c>
      <c r="K122" s="125"/>
      <c r="L122" s="125"/>
      <c r="M122" s="46"/>
      <c r="N122" s="126"/>
      <c r="O122" s="126"/>
      <c r="P122" s="126"/>
      <c r="Q122" s="126"/>
      <c r="R122" s="126"/>
      <c r="S122" s="126"/>
      <c r="T122" s="135"/>
      <c r="U122" s="135">
        <f>E122+T122-2+2500</f>
        <v>2557</v>
      </c>
      <c r="V122" s="129" t="str">
        <f>LEFT(B122, SEARCH("",B122,2))</f>
        <v>42</v>
      </c>
      <c r="W122" s="121">
        <f>COUNTIF($V$4:$V$286,V122)-1</f>
        <v>8</v>
      </c>
      <c r="X122" s="121"/>
      <c r="Y122" s="121"/>
      <c r="Z122" s="121"/>
      <c r="AA122" s="121"/>
    </row>
    <row r="123" spans="1:27" ht="18.75">
      <c r="A123" s="88"/>
      <c r="B123" s="121">
        <v>4210</v>
      </c>
      <c r="C123" s="121" t="s">
        <v>683</v>
      </c>
      <c r="D123" s="88" t="s">
        <v>696</v>
      </c>
      <c r="E123" s="121">
        <v>59</v>
      </c>
      <c r="F123" s="46" t="s">
        <v>697</v>
      </c>
      <c r="G123" s="26" t="s">
        <v>28</v>
      </c>
      <c r="H123" s="122">
        <v>12000000</v>
      </c>
      <c r="I123" s="123">
        <v>42591</v>
      </c>
      <c r="J123" s="124"/>
      <c r="K123" s="125"/>
      <c r="L123" s="125"/>
      <c r="M123" s="46"/>
      <c r="N123" s="126"/>
      <c r="O123" s="126"/>
      <c r="P123" s="126"/>
      <c r="Q123" s="126"/>
      <c r="R123" s="126"/>
      <c r="S123" s="126"/>
      <c r="T123" s="135"/>
      <c r="U123" s="135">
        <f>E123+T123-2+2500</f>
        <v>2557</v>
      </c>
      <c r="V123" s="129" t="str">
        <f>LEFT(B123, SEARCH("",B123,2))</f>
        <v>42</v>
      </c>
      <c r="W123" s="121">
        <f>COUNTIF($V$4:$V$286,V123)-1</f>
        <v>8</v>
      </c>
      <c r="X123" s="121"/>
      <c r="Y123" s="121"/>
      <c r="Z123" s="121"/>
      <c r="AA123" s="121"/>
    </row>
    <row r="124" spans="1:27" ht="18.75">
      <c r="A124" s="141"/>
      <c r="B124" s="121">
        <v>4210</v>
      </c>
      <c r="C124" s="121" t="s">
        <v>683</v>
      </c>
      <c r="D124" s="88" t="s">
        <v>698</v>
      </c>
      <c r="E124" s="121">
        <v>62</v>
      </c>
      <c r="F124" s="46" t="s">
        <v>699</v>
      </c>
      <c r="G124" s="26" t="s">
        <v>28</v>
      </c>
      <c r="H124" s="122">
        <v>7000000</v>
      </c>
      <c r="I124" s="123"/>
      <c r="J124" s="124"/>
      <c r="K124" s="125"/>
      <c r="L124" s="125"/>
      <c r="M124" s="46"/>
      <c r="N124" s="126"/>
      <c r="O124" s="126"/>
      <c r="P124" s="126"/>
      <c r="Q124" s="126"/>
      <c r="R124" s="126"/>
      <c r="S124" s="126"/>
      <c r="T124" s="135"/>
      <c r="U124" s="128"/>
      <c r="V124" s="129"/>
      <c r="W124" s="121"/>
      <c r="X124" s="121"/>
      <c r="Y124" s="121"/>
      <c r="Z124" s="121"/>
      <c r="AA124" s="121"/>
    </row>
    <row r="125" spans="1:27" ht="18.75">
      <c r="A125" s="88"/>
      <c r="B125" s="121">
        <v>4210</v>
      </c>
      <c r="C125" s="121" t="s">
        <v>37</v>
      </c>
      <c r="D125" s="88" t="s">
        <v>702</v>
      </c>
      <c r="E125" s="121">
        <v>58</v>
      </c>
      <c r="F125" s="46" t="s">
        <v>703</v>
      </c>
      <c r="G125" s="26" t="s">
        <v>704</v>
      </c>
      <c r="H125" s="122">
        <v>1490000</v>
      </c>
      <c r="I125" s="123"/>
      <c r="J125" s="130" t="str">
        <f>HYPERLINK("https://drive.google.com/open?id=0B2vBTVEfSzItZ1RXV3p2S18xSUE","4210")</f>
        <v>4210</v>
      </c>
      <c r="K125" s="132" t="str">
        <f>HYPERLINK("https://drive.google.com/drive/folders/0BwN2QqBc2z4Qfmtfdk5jMzM5Qml2c0t5YmJTblNUU1c4MEItN2tEWDV5MG1WQ0prdHBtWUk","4210")</f>
        <v>4210</v>
      </c>
      <c r="L125" s="125"/>
      <c r="M125" s="46"/>
      <c r="N125" s="126"/>
      <c r="O125" s="126"/>
      <c r="P125" s="126"/>
      <c r="Q125" s="126"/>
      <c r="R125" s="126"/>
      <c r="S125" s="126"/>
      <c r="T125" s="128"/>
      <c r="U125" s="128">
        <f>E125+T125-2+2500</f>
        <v>2556</v>
      </c>
      <c r="V125" s="129" t="str">
        <f>LEFT(B125, SEARCH("",B125,2))</f>
        <v>42</v>
      </c>
      <c r="W125" s="121">
        <f>COUNTIF($V$4:$V$286,V125)-1</f>
        <v>8</v>
      </c>
      <c r="X125" s="121"/>
      <c r="Y125" s="121"/>
      <c r="Z125" s="121"/>
      <c r="AA125" s="121"/>
    </row>
    <row r="126" spans="1:27" ht="37.5">
      <c r="A126" s="88"/>
      <c r="B126" s="121">
        <v>4210</v>
      </c>
      <c r="C126" s="121" t="s">
        <v>683</v>
      </c>
      <c r="D126" s="88" t="s">
        <v>705</v>
      </c>
      <c r="E126" s="121">
        <v>62</v>
      </c>
      <c r="F126" s="46" t="s">
        <v>706</v>
      </c>
      <c r="G126" s="26" t="s">
        <v>707</v>
      </c>
      <c r="H126" s="122">
        <v>14700</v>
      </c>
      <c r="I126" s="123"/>
      <c r="J126" s="124"/>
      <c r="K126" s="125"/>
      <c r="L126" s="125"/>
      <c r="M126" s="46"/>
      <c r="N126" s="126"/>
      <c r="O126" s="126"/>
      <c r="P126" s="126"/>
      <c r="Q126" s="126"/>
      <c r="R126" s="126"/>
      <c r="S126" s="126"/>
      <c r="T126" s="128"/>
      <c r="U126" s="128"/>
      <c r="V126" s="129"/>
      <c r="W126" s="121"/>
      <c r="X126" s="121"/>
      <c r="Y126" s="121"/>
      <c r="Z126" s="121"/>
      <c r="AA126" s="121"/>
    </row>
    <row r="127" spans="1:27" ht="37.5">
      <c r="A127" s="88"/>
      <c r="B127" s="121">
        <v>4210</v>
      </c>
      <c r="C127" s="121" t="s">
        <v>683</v>
      </c>
      <c r="D127" s="88" t="s">
        <v>708</v>
      </c>
      <c r="E127" s="121">
        <v>62</v>
      </c>
      <c r="F127" s="46" t="s">
        <v>709</v>
      </c>
      <c r="G127" s="26" t="s">
        <v>707</v>
      </c>
      <c r="H127" s="122">
        <v>16200</v>
      </c>
      <c r="I127" s="123"/>
      <c r="J127" s="124"/>
      <c r="K127" s="125"/>
      <c r="L127" s="125"/>
      <c r="M127" s="46"/>
      <c r="N127" s="126"/>
      <c r="O127" s="126"/>
      <c r="P127" s="126"/>
      <c r="Q127" s="126"/>
      <c r="R127" s="126"/>
      <c r="S127" s="126"/>
      <c r="T127" s="128"/>
      <c r="U127" s="128"/>
      <c r="V127" s="129"/>
      <c r="W127" s="121"/>
      <c r="X127" s="121"/>
      <c r="Y127" s="121"/>
      <c r="Z127" s="121"/>
      <c r="AA127" s="121"/>
    </row>
    <row r="128" spans="1:27" ht="18.75">
      <c r="A128" s="88"/>
      <c r="B128" s="121">
        <v>4210</v>
      </c>
      <c r="C128" s="121" t="s">
        <v>683</v>
      </c>
      <c r="D128" s="88" t="s">
        <v>710</v>
      </c>
      <c r="E128" s="121">
        <v>54</v>
      </c>
      <c r="F128" s="46" t="s">
        <v>711</v>
      </c>
      <c r="G128" s="26" t="s">
        <v>712</v>
      </c>
      <c r="H128" s="122">
        <v>33000</v>
      </c>
      <c r="I128" s="123"/>
      <c r="J128" s="130" t="str">
        <f>HYPERLINK("https://drive.google.com/open?id=0B2rLR4BADrBtUGFRMzZwYVJzODA","4210")</f>
        <v>4210</v>
      </c>
      <c r="K128" s="133" t="str">
        <f>HYPERLINK("https://drive.google.com/drive/folders/0BwN2QqBc2z4Qfmtfdk5jMzM5Qml2c0t5YmJTblNUU1c4MEItN2tEWDV5MG1WQ0prdHBtWUk","4210")</f>
        <v>4210</v>
      </c>
      <c r="L128" s="134"/>
      <c r="M128" s="46"/>
      <c r="N128" s="126"/>
      <c r="O128" s="126"/>
      <c r="P128" s="126"/>
      <c r="Q128" s="126"/>
      <c r="R128" s="126"/>
      <c r="S128" s="126"/>
      <c r="T128" s="135">
        <v>10</v>
      </c>
      <c r="U128" s="135">
        <f>E128+T128-2+2500</f>
        <v>2562</v>
      </c>
      <c r="V128" s="129" t="str">
        <f>LEFT(B128, SEARCH("",B128,2))</f>
        <v>42</v>
      </c>
      <c r="W128" s="121">
        <f>COUNTIF($V$4:$V$286,V128)-1</f>
        <v>8</v>
      </c>
      <c r="X128" s="121"/>
      <c r="Y128" s="121"/>
      <c r="Z128" s="121"/>
      <c r="AA128" s="121"/>
    </row>
    <row r="129" spans="1:27" ht="18.75">
      <c r="A129" s="88"/>
      <c r="B129" s="121">
        <v>4210</v>
      </c>
      <c r="C129" s="121" t="s">
        <v>683</v>
      </c>
      <c r="D129" s="88" t="s">
        <v>714</v>
      </c>
      <c r="E129" s="121">
        <v>54</v>
      </c>
      <c r="F129" s="46" t="s">
        <v>715</v>
      </c>
      <c r="G129" s="26" t="s">
        <v>712</v>
      </c>
      <c r="H129" s="122">
        <v>39600</v>
      </c>
      <c r="I129" s="123"/>
      <c r="J129" s="130" t="str">
        <f>HYPERLINK("https://drive.google.com/open?id=0B2rLR4BADrBtWTlvbjFaMzJHUDg","4210")</f>
        <v>4210</v>
      </c>
      <c r="K129" s="132" t="str">
        <f>HYPERLINK("https://drive.google.com/drive/folders/0BwN2QqBc2z4Qfmtfdk5jMzM5Qml2c0t5YmJTblNUU1c4MEItN2tEWDV5MG1WQ0prdHBtWUk","4210")</f>
        <v>4210</v>
      </c>
      <c r="L129" s="125"/>
      <c r="M129" s="46"/>
      <c r="N129" s="126"/>
      <c r="O129" s="126"/>
      <c r="P129" s="126"/>
      <c r="Q129" s="126"/>
      <c r="R129" s="126"/>
      <c r="S129" s="126"/>
      <c r="T129" s="135">
        <v>10</v>
      </c>
      <c r="U129" s="135">
        <f>E129+T129-2+2500</f>
        <v>2562</v>
      </c>
      <c r="V129" s="129" t="str">
        <f>LEFT(B129, SEARCH("",B129,2))</f>
        <v>42</v>
      </c>
      <c r="W129" s="121">
        <f>COUNTIF($V$4:$V$286,V129)-1</f>
        <v>8</v>
      </c>
      <c r="X129" s="121"/>
      <c r="Y129" s="121"/>
      <c r="Z129" s="121"/>
      <c r="AA129" s="121"/>
    </row>
    <row r="130" spans="1:27" ht="18.75">
      <c r="A130" s="88"/>
      <c r="B130" s="121">
        <v>4210</v>
      </c>
      <c r="C130" s="121" t="s">
        <v>256</v>
      </c>
      <c r="D130" s="88" t="s">
        <v>717</v>
      </c>
      <c r="E130" s="121">
        <v>57</v>
      </c>
      <c r="F130" s="46" t="s">
        <v>718</v>
      </c>
      <c r="G130" s="26" t="s">
        <v>273</v>
      </c>
      <c r="H130" s="122">
        <v>40000</v>
      </c>
      <c r="I130" s="123"/>
      <c r="J130" s="124"/>
      <c r="K130" s="133" t="str">
        <f>HYPERLINK("https://drive.google.com/drive/u/0/folders/0BwQ57SNHxB3Bc3hQZVBpUmRxZ3M","4210")</f>
        <v>4210</v>
      </c>
      <c r="L130" s="134"/>
      <c r="M130" s="46"/>
      <c r="N130" s="126"/>
      <c r="O130" s="126"/>
      <c r="P130" s="126"/>
      <c r="Q130" s="126"/>
      <c r="R130" s="126"/>
      <c r="S130" s="126"/>
      <c r="T130" s="135"/>
      <c r="U130" s="128"/>
      <c r="V130" s="129" t="str">
        <f>LEFT(B130, SEARCH("",B130,2))</f>
        <v>42</v>
      </c>
      <c r="W130" s="121">
        <f>COUNTIF($V$4:$V$286,V130)-1</f>
        <v>8</v>
      </c>
      <c r="X130" s="121"/>
      <c r="Y130" s="121"/>
      <c r="Z130" s="121"/>
      <c r="AA130" s="121"/>
    </row>
    <row r="131" spans="1:27" ht="18.75">
      <c r="A131" s="118"/>
      <c r="B131" s="117">
        <v>4300</v>
      </c>
      <c r="C131" s="117"/>
      <c r="D131" s="117" t="str">
        <f>"พัสดุ"&amp; VLOOKUP(V131,'เลขSpec.2 ตัวแรก'!$A$2:$B$100,2,FALSE)&amp; " จำนวน "&amp;W131&amp;" รายการ"</f>
        <v>พัสดุหมวด 43 สูบและเครื่องอัด จำนวน 36 รายการ</v>
      </c>
      <c r="E131" s="118"/>
      <c r="F131" s="117"/>
      <c r="G131" s="117"/>
      <c r="H131" s="117"/>
      <c r="I131" s="117"/>
      <c r="J131" s="117"/>
      <c r="K131" s="119"/>
      <c r="L131" s="118"/>
      <c r="M131" s="118"/>
      <c r="N131" s="117"/>
      <c r="O131" s="117"/>
      <c r="P131" s="117"/>
      <c r="Q131" s="118"/>
      <c r="R131" s="117"/>
      <c r="S131" s="117"/>
      <c r="T131" s="117"/>
      <c r="U131" s="117"/>
      <c r="V131" s="117" t="str">
        <f>LEFT(B131, SEARCH("",B131,2))</f>
        <v>43</v>
      </c>
      <c r="W131" s="119">
        <f>COUNTIF($V$2:$V$286,V131)-1</f>
        <v>36</v>
      </c>
      <c r="X131" s="118"/>
      <c r="Y131" s="24"/>
      <c r="Z131" s="24"/>
      <c r="AA131" s="121"/>
    </row>
    <row r="132" spans="1:27" ht="18.75">
      <c r="A132" s="88"/>
      <c r="B132" s="121">
        <v>4310</v>
      </c>
      <c r="C132" s="121" t="s">
        <v>157</v>
      </c>
      <c r="D132" s="88" t="s">
        <v>722</v>
      </c>
      <c r="E132" s="121">
        <v>53</v>
      </c>
      <c r="F132" s="46" t="s">
        <v>724</v>
      </c>
      <c r="G132" s="26" t="s">
        <v>78</v>
      </c>
      <c r="H132" s="122">
        <v>9500</v>
      </c>
      <c r="I132" s="123"/>
      <c r="J132" s="124"/>
      <c r="K132" s="132" t="str">
        <f>HYPERLINK("https://drive.google.com/drive/folders/0BwQ57SNHxB3BaUcwbVdoQXQ5dDg","4310")</f>
        <v>4310</v>
      </c>
      <c r="L132" s="125"/>
      <c r="M132" s="46"/>
      <c r="N132" s="126"/>
      <c r="O132" s="126"/>
      <c r="P132" s="126"/>
      <c r="Q132" s="126"/>
      <c r="R132" s="126"/>
      <c r="S132" s="126"/>
      <c r="T132" s="135">
        <v>15</v>
      </c>
      <c r="U132" s="135">
        <f>E132+T132-2+2500</f>
        <v>2566</v>
      </c>
      <c r="V132" s="129" t="str">
        <f>LEFT(B132, SEARCH("",B132,2))</f>
        <v>43</v>
      </c>
      <c r="W132" s="121">
        <f>COUNTIF('52-62 (สำหรับ จก.ตรวจเยี่ยม)'!$V$4:$V$286,V132)-1</f>
        <v>36</v>
      </c>
      <c r="X132" s="121"/>
      <c r="Y132" s="121"/>
      <c r="Z132" s="121"/>
      <c r="AA132" s="121"/>
    </row>
    <row r="133" spans="1:27" ht="18.75">
      <c r="A133" s="88"/>
      <c r="B133" s="121">
        <v>4310</v>
      </c>
      <c r="C133" s="121" t="s">
        <v>683</v>
      </c>
      <c r="D133" s="88" t="s">
        <v>738</v>
      </c>
      <c r="E133" s="121">
        <v>62</v>
      </c>
      <c r="F133" s="46" t="s">
        <v>739</v>
      </c>
      <c r="G133" s="26" t="s">
        <v>78</v>
      </c>
      <c r="H133" s="122">
        <v>450000</v>
      </c>
      <c r="I133" s="123"/>
      <c r="J133" s="130" t="str">
        <f>HYPERLINK("https://drive.google.com/open?id=1RLWKE3KEXf7mXtE7Z9kIeenVaWT6ei-4","4310")</f>
        <v>4310</v>
      </c>
      <c r="K133" s="125"/>
      <c r="L133" s="125"/>
      <c r="M133" s="46"/>
      <c r="N133" s="126"/>
      <c r="O133" s="126"/>
      <c r="P133" s="126"/>
      <c r="Q133" s="126"/>
      <c r="R133" s="126"/>
      <c r="S133" s="126"/>
      <c r="T133" s="135"/>
      <c r="U133" s="128"/>
      <c r="V133" s="129"/>
      <c r="W133" s="121"/>
      <c r="X133" s="121"/>
      <c r="Y133" s="121"/>
      <c r="Z133" s="121"/>
      <c r="AA133" s="121"/>
    </row>
    <row r="134" spans="1:27" ht="18.75">
      <c r="A134" s="88"/>
      <c r="B134" s="121">
        <v>4310</v>
      </c>
      <c r="C134" s="121" t="s">
        <v>157</v>
      </c>
      <c r="D134" s="88" t="s">
        <v>749</v>
      </c>
      <c r="E134" s="121">
        <v>54</v>
      </c>
      <c r="F134" s="46" t="s">
        <v>751</v>
      </c>
      <c r="G134" s="26" t="s">
        <v>78</v>
      </c>
      <c r="H134" s="122">
        <v>28000</v>
      </c>
      <c r="I134" s="123"/>
      <c r="J134" s="130" t="str">
        <f>HYPERLINK("https://drive.google.com/open?id=0B2rLR4BADrBtLThJeGxrSmRLRzg","4310")</f>
        <v>4310</v>
      </c>
      <c r="K134" s="132" t="str">
        <f>HYPERLINK("https://drive.google.com/drive/folders/0BwQ57SNHxB3BaUcwbVdoQXQ5dDg","4310")</f>
        <v>4310</v>
      </c>
      <c r="L134" s="125"/>
      <c r="M134" s="46"/>
      <c r="N134" s="126"/>
      <c r="O134" s="126"/>
      <c r="P134" s="126"/>
      <c r="Q134" s="126"/>
      <c r="R134" s="126"/>
      <c r="S134" s="126"/>
      <c r="T134" s="135">
        <v>15</v>
      </c>
      <c r="U134" s="135">
        <f t="shared" ref="U134:U168" si="22">E134+T134-2+2500</f>
        <v>2567</v>
      </c>
      <c r="V134" s="129" t="str">
        <f t="shared" ref="V134:V177" si="23">LEFT(B134, SEARCH("",B134,2))</f>
        <v>43</v>
      </c>
      <c r="W134" s="121">
        <f>COUNTIF($V$4:$V$286,V134)-1</f>
        <v>36</v>
      </c>
      <c r="X134" s="121"/>
      <c r="Y134" s="121"/>
      <c r="Z134" s="121"/>
      <c r="AA134" s="121"/>
    </row>
    <row r="135" spans="1:27" ht="18.75">
      <c r="A135" s="88"/>
      <c r="B135" s="121">
        <v>4310</v>
      </c>
      <c r="C135" s="121" t="s">
        <v>157</v>
      </c>
      <c r="D135" s="88" t="s">
        <v>763</v>
      </c>
      <c r="E135" s="121">
        <v>55</v>
      </c>
      <c r="F135" s="46" t="s">
        <v>764</v>
      </c>
      <c r="G135" s="26" t="s">
        <v>78</v>
      </c>
      <c r="H135" s="122">
        <v>29500</v>
      </c>
      <c r="I135" s="144"/>
      <c r="J135" s="145" t="str">
        <f>HYPERLINK("https://drive.google.com/open?id=0B2rLR4BADrBtbDlWbm1keTZlWmM","4310")</f>
        <v>4310</v>
      </c>
      <c r="K135" s="132" t="str">
        <f>HYPERLINK("https://drive.google.com/drive/folders/0BwQ57SNHxB3BaUcwbVdoQXQ5dDg","4310")</f>
        <v>4310</v>
      </c>
      <c r="L135" s="125"/>
      <c r="M135" s="46"/>
      <c r="N135" s="126"/>
      <c r="O135" s="126"/>
      <c r="P135" s="126"/>
      <c r="Q135" s="126"/>
      <c r="R135" s="126"/>
      <c r="S135" s="126"/>
      <c r="T135" s="135">
        <v>15</v>
      </c>
      <c r="U135" s="135">
        <f t="shared" si="22"/>
        <v>2568</v>
      </c>
      <c r="V135" s="129" t="str">
        <f t="shared" si="23"/>
        <v>43</v>
      </c>
      <c r="W135" s="121">
        <f>COUNTIF($V$4:$V$286,V135)-1</f>
        <v>36</v>
      </c>
      <c r="X135" s="121"/>
      <c r="Y135" s="121"/>
      <c r="Z135" s="121"/>
      <c r="AA135" s="142"/>
    </row>
    <row r="136" spans="1:27" ht="18.75">
      <c r="A136" s="88"/>
      <c r="B136" s="121">
        <v>4310</v>
      </c>
      <c r="C136" s="121" t="s">
        <v>157</v>
      </c>
      <c r="D136" s="88" t="s">
        <v>775</v>
      </c>
      <c r="E136" s="121">
        <v>53</v>
      </c>
      <c r="F136" s="46" t="s">
        <v>776</v>
      </c>
      <c r="G136" s="26" t="s">
        <v>78</v>
      </c>
      <c r="H136" s="122">
        <v>165000</v>
      </c>
      <c r="I136" s="144"/>
      <c r="J136" s="145" t="str">
        <f>HYPERLINK("https://drive.google.com/open?id=0B2vBTVEfSzItejdjM1JzUVFJVmM","4310")</f>
        <v>4310</v>
      </c>
      <c r="K136" s="132" t="str">
        <f>HYPERLINK("https://drive.google.com/drive/folders/0BwQ57SNHxB3BaUcwbVdoQXQ5dDg","4310")</f>
        <v>4310</v>
      </c>
      <c r="L136" s="125"/>
      <c r="M136" s="46"/>
      <c r="N136" s="126"/>
      <c r="O136" s="126"/>
      <c r="P136" s="126"/>
      <c r="Q136" s="126"/>
      <c r="R136" s="126"/>
      <c r="S136" s="126"/>
      <c r="T136" s="135">
        <v>15</v>
      </c>
      <c r="U136" s="135">
        <f t="shared" si="22"/>
        <v>2566</v>
      </c>
      <c r="V136" s="129" t="str">
        <f t="shared" si="23"/>
        <v>43</v>
      </c>
      <c r="W136" s="121">
        <f>COUNTIF('52-62 (สำหรับ จก.ตรวจเยี่ยม)'!$V$4:$V$286,V136)-1</f>
        <v>36</v>
      </c>
      <c r="X136" s="121"/>
      <c r="Y136" s="121"/>
      <c r="Z136" s="121"/>
      <c r="AA136" s="142"/>
    </row>
    <row r="137" spans="1:27" ht="18.75">
      <c r="A137" s="88"/>
      <c r="B137" s="121">
        <v>4320</v>
      </c>
      <c r="C137" s="121" t="s">
        <v>256</v>
      </c>
      <c r="D137" s="88" t="s">
        <v>791</v>
      </c>
      <c r="E137" s="121">
        <v>53</v>
      </c>
      <c r="F137" s="46" t="s">
        <v>792</v>
      </c>
      <c r="G137" s="26" t="s">
        <v>78</v>
      </c>
      <c r="H137" s="122">
        <v>63400</v>
      </c>
      <c r="I137" s="123"/>
      <c r="J137" s="130" t="str">
        <f>HYPERLINK("https://drive.google.com/open?id=0B2vBTVEfSzItWnNlWjFnN3RDT2c","4320")</f>
        <v>4320</v>
      </c>
      <c r="K137" s="132" t="str">
        <f>HYPERLINK("https://drive.google.com/drive/folders/0BwN2QqBc2z4QfjNIWThUWGJ3MDdiU2x4V1ZhdFFVazNTc0I1aVByYkVXQTFldkk5VDFkRWM","4320")</f>
        <v>4320</v>
      </c>
      <c r="L137" s="125"/>
      <c r="M137" s="46"/>
      <c r="N137" s="126"/>
      <c r="O137" s="126"/>
      <c r="P137" s="126"/>
      <c r="Q137" s="126"/>
      <c r="R137" s="126"/>
      <c r="S137" s="126"/>
      <c r="T137" s="135">
        <v>15</v>
      </c>
      <c r="U137" s="135">
        <f t="shared" si="22"/>
        <v>2566</v>
      </c>
      <c r="V137" s="129" t="str">
        <f t="shared" si="23"/>
        <v>43</v>
      </c>
      <c r="W137" s="121">
        <f t="shared" ref="W137:W168" si="24">COUNTIF($V$4:$V$286,V137)-1</f>
        <v>36</v>
      </c>
      <c r="X137" s="121"/>
      <c r="Y137" s="121"/>
      <c r="Z137" s="121"/>
      <c r="AA137" s="121"/>
    </row>
    <row r="138" spans="1:27" ht="18.75">
      <c r="A138" s="88"/>
      <c r="B138" s="121">
        <v>4320</v>
      </c>
      <c r="C138" s="121" t="s">
        <v>256</v>
      </c>
      <c r="D138" s="88" t="s">
        <v>799</v>
      </c>
      <c r="E138" s="121">
        <v>55</v>
      </c>
      <c r="F138" s="46" t="s">
        <v>800</v>
      </c>
      <c r="G138" s="26" t="s">
        <v>78</v>
      </c>
      <c r="H138" s="122">
        <v>950000</v>
      </c>
      <c r="I138" s="123"/>
      <c r="J138" s="124"/>
      <c r="K138" s="132" t="str">
        <f>HYPERLINK("https://drive.google.com/drive/folders/0BwN2QqBc2z4QfjNIWThUWGJ3MDdiU2x4V1ZhdFFVazNTc0I1aVByYkVXQTFldkk5VDFkRWM","4320")</f>
        <v>4320</v>
      </c>
      <c r="L138" s="125"/>
      <c r="M138" s="46"/>
      <c r="N138" s="126"/>
      <c r="O138" s="126"/>
      <c r="P138" s="126"/>
      <c r="Q138" s="126"/>
      <c r="R138" s="126"/>
      <c r="S138" s="126"/>
      <c r="T138" s="135">
        <v>15</v>
      </c>
      <c r="U138" s="135">
        <f t="shared" si="22"/>
        <v>2568</v>
      </c>
      <c r="V138" s="129" t="str">
        <f t="shared" si="23"/>
        <v>43</v>
      </c>
      <c r="W138" s="121">
        <f t="shared" si="24"/>
        <v>36</v>
      </c>
      <c r="X138" s="121"/>
      <c r="Y138" s="121"/>
      <c r="Z138" s="121"/>
      <c r="AA138" s="121"/>
    </row>
    <row r="139" spans="1:27" ht="37.5">
      <c r="A139" s="88"/>
      <c r="B139" s="121">
        <v>4320</v>
      </c>
      <c r="C139" s="121" t="s">
        <v>256</v>
      </c>
      <c r="D139" s="88" t="s">
        <v>837</v>
      </c>
      <c r="E139" s="121">
        <v>54</v>
      </c>
      <c r="F139" s="46" t="s">
        <v>838</v>
      </c>
      <c r="G139" s="26" t="s">
        <v>78</v>
      </c>
      <c r="H139" s="122">
        <v>950000</v>
      </c>
      <c r="I139" s="123"/>
      <c r="J139" s="130" t="str">
        <f>HYPERLINK("https://drive.google.com/open?id=0B2rLR4BADrBtMzFxdy1IenIwbU0","4320")</f>
        <v>4320</v>
      </c>
      <c r="K139" s="132" t="str">
        <f>HYPERLINK("https://drive.google.com/drive/folders/0BwN2QqBc2z4QfjNIWThUWGJ3MDdiU2x4V1ZhdFFVazNTc0I1aVByYkVXQTFldkk5VDFkRWM","4320")</f>
        <v>4320</v>
      </c>
      <c r="L139" s="125"/>
      <c r="M139" s="46"/>
      <c r="N139" s="126"/>
      <c r="O139" s="126"/>
      <c r="P139" s="126"/>
      <c r="Q139" s="126"/>
      <c r="R139" s="126"/>
      <c r="S139" s="126"/>
      <c r="T139" s="135">
        <v>15</v>
      </c>
      <c r="U139" s="135">
        <f t="shared" si="22"/>
        <v>2567</v>
      </c>
      <c r="V139" s="129" t="str">
        <f t="shared" si="23"/>
        <v>43</v>
      </c>
      <c r="W139" s="121">
        <f t="shared" si="24"/>
        <v>36</v>
      </c>
      <c r="X139" s="121"/>
      <c r="Y139" s="121"/>
      <c r="Z139" s="121"/>
      <c r="AA139" s="121"/>
    </row>
    <row r="140" spans="1:27" ht="37.5">
      <c r="A140" s="88"/>
      <c r="B140" s="121">
        <v>4320</v>
      </c>
      <c r="C140" s="121" t="s">
        <v>256</v>
      </c>
      <c r="D140" s="88" t="s">
        <v>850</v>
      </c>
      <c r="E140" s="121">
        <v>54</v>
      </c>
      <c r="F140" s="46" t="s">
        <v>851</v>
      </c>
      <c r="G140" s="26" t="s">
        <v>78</v>
      </c>
      <c r="H140" s="122">
        <v>406800</v>
      </c>
      <c r="I140" s="123"/>
      <c r="J140" s="130" t="str">
        <f>HYPERLINK("https://drive.google.com/open?id=0B2rLR4BADrBtazR0dHA4bUZmcHc","4320")</f>
        <v>4320</v>
      </c>
      <c r="K140" s="132" t="str">
        <f>HYPERLINK("https://drive.google.com/drive/folders/0BwQ57SNHxB3BZEl4TXJrMnlaR1E","5120")</f>
        <v>5120</v>
      </c>
      <c r="L140" s="125"/>
      <c r="M140" s="46"/>
      <c r="N140" s="126"/>
      <c r="O140" s="126"/>
      <c r="P140" s="126"/>
      <c r="Q140" s="126"/>
      <c r="R140" s="126"/>
      <c r="S140" s="126"/>
      <c r="T140" s="128">
        <v>10</v>
      </c>
      <c r="U140" s="128">
        <f t="shared" si="22"/>
        <v>2562</v>
      </c>
      <c r="V140" s="129" t="str">
        <f t="shared" si="23"/>
        <v>43</v>
      </c>
      <c r="W140" s="121">
        <f t="shared" si="24"/>
        <v>36</v>
      </c>
      <c r="X140" s="121"/>
      <c r="Y140" s="121"/>
      <c r="Z140" s="121"/>
      <c r="AA140" s="121"/>
    </row>
    <row r="141" spans="1:27" ht="18.75">
      <c r="A141" s="88"/>
      <c r="B141" s="121">
        <v>4320</v>
      </c>
      <c r="C141" s="121" t="s">
        <v>256</v>
      </c>
      <c r="D141" s="88" t="s">
        <v>861</v>
      </c>
      <c r="E141" s="121">
        <v>53</v>
      </c>
      <c r="F141" s="46" t="s">
        <v>862</v>
      </c>
      <c r="G141" s="26" t="s">
        <v>78</v>
      </c>
      <c r="H141" s="122">
        <v>150000</v>
      </c>
      <c r="I141" s="123"/>
      <c r="J141" s="130" t="str">
        <f>HYPERLINK("https://drive.google.com/open?id=0B2vBTVEfSzItT0UtOVNPYkFxZnc","4320")</f>
        <v>4320</v>
      </c>
      <c r="K141" s="132" t="str">
        <f t="shared" ref="K141:K146" si="25">HYPERLINK("https://drive.google.com/drive/folders/0BwN2QqBc2z4QfjNIWThUWGJ3MDdiU2x4V1ZhdFFVazNTc0I1aVByYkVXQTFldkk5VDFkRWM","4320")</f>
        <v>4320</v>
      </c>
      <c r="L141" s="125"/>
      <c r="M141" s="46"/>
      <c r="N141" s="126"/>
      <c r="O141" s="126"/>
      <c r="P141" s="126"/>
      <c r="Q141" s="126"/>
      <c r="R141" s="126"/>
      <c r="S141" s="126"/>
      <c r="T141" s="135">
        <v>15</v>
      </c>
      <c r="U141" s="135">
        <f t="shared" si="22"/>
        <v>2566</v>
      </c>
      <c r="V141" s="129" t="str">
        <f t="shared" si="23"/>
        <v>43</v>
      </c>
      <c r="W141" s="121">
        <f t="shared" si="24"/>
        <v>36</v>
      </c>
      <c r="X141" s="121"/>
      <c r="Y141" s="121"/>
      <c r="Z141" s="121"/>
      <c r="AA141" s="121"/>
    </row>
    <row r="142" spans="1:27" ht="18.75">
      <c r="A142" s="88"/>
      <c r="B142" s="121">
        <v>4320</v>
      </c>
      <c r="C142" s="121" t="s">
        <v>256</v>
      </c>
      <c r="D142" s="88" t="s">
        <v>863</v>
      </c>
      <c r="E142" s="121">
        <v>53</v>
      </c>
      <c r="F142" s="46" t="s">
        <v>864</v>
      </c>
      <c r="G142" s="26" t="s">
        <v>78</v>
      </c>
      <c r="H142" s="122">
        <v>95000</v>
      </c>
      <c r="I142" s="123"/>
      <c r="J142" s="130" t="str">
        <f>HYPERLINK("https://drive.google.com/open?id=0B2vBTVEfSzItZDFhYUY1S0lVRHM","4320")</f>
        <v>4320</v>
      </c>
      <c r="K142" s="132" t="str">
        <f t="shared" si="25"/>
        <v>4320</v>
      </c>
      <c r="L142" s="125"/>
      <c r="M142" s="46"/>
      <c r="N142" s="126"/>
      <c r="O142" s="126"/>
      <c r="P142" s="126"/>
      <c r="Q142" s="126"/>
      <c r="R142" s="126"/>
      <c r="S142" s="126"/>
      <c r="T142" s="135">
        <v>15</v>
      </c>
      <c r="U142" s="135">
        <f t="shared" si="22"/>
        <v>2566</v>
      </c>
      <c r="V142" s="129" t="str">
        <f t="shared" si="23"/>
        <v>43</v>
      </c>
      <c r="W142" s="121">
        <f t="shared" si="24"/>
        <v>36</v>
      </c>
      <c r="X142" s="121"/>
      <c r="Y142" s="121"/>
      <c r="Z142" s="121"/>
      <c r="AA142" s="121"/>
    </row>
    <row r="143" spans="1:27" ht="18.75">
      <c r="A143" s="88"/>
      <c r="B143" s="121">
        <v>4320</v>
      </c>
      <c r="C143" s="121" t="s">
        <v>256</v>
      </c>
      <c r="D143" s="88" t="s">
        <v>865</v>
      </c>
      <c r="E143" s="121">
        <v>53</v>
      </c>
      <c r="F143" s="46" t="s">
        <v>866</v>
      </c>
      <c r="G143" s="26" t="s">
        <v>78</v>
      </c>
      <c r="H143" s="122">
        <v>140000</v>
      </c>
      <c r="I143" s="123"/>
      <c r="J143" s="130" t="str">
        <f>HYPERLINK("https://drive.google.com/open?id=0B2vBTVEfSzItOTR3YnlOYm1hdUE","4320")</f>
        <v>4320</v>
      </c>
      <c r="K143" s="132" t="str">
        <f t="shared" si="25"/>
        <v>4320</v>
      </c>
      <c r="L143" s="125"/>
      <c r="M143" s="46"/>
      <c r="N143" s="126"/>
      <c r="O143" s="126"/>
      <c r="P143" s="126"/>
      <c r="Q143" s="126"/>
      <c r="R143" s="126"/>
      <c r="S143" s="126"/>
      <c r="T143" s="135">
        <v>15</v>
      </c>
      <c r="U143" s="135">
        <f t="shared" si="22"/>
        <v>2566</v>
      </c>
      <c r="V143" s="129" t="str">
        <f t="shared" si="23"/>
        <v>43</v>
      </c>
      <c r="W143" s="121">
        <f t="shared" si="24"/>
        <v>36</v>
      </c>
      <c r="X143" s="121"/>
      <c r="Y143" s="121"/>
      <c r="Z143" s="121"/>
      <c r="AA143" s="121"/>
    </row>
    <row r="144" spans="1:27" ht="18.75">
      <c r="A144" s="88"/>
      <c r="B144" s="121">
        <v>4320</v>
      </c>
      <c r="C144" s="121" t="s">
        <v>256</v>
      </c>
      <c r="D144" s="88" t="s">
        <v>869</v>
      </c>
      <c r="E144" s="121">
        <v>53</v>
      </c>
      <c r="F144" s="46" t="s">
        <v>870</v>
      </c>
      <c r="G144" s="26" t="s">
        <v>78</v>
      </c>
      <c r="H144" s="122">
        <v>120000</v>
      </c>
      <c r="I144" s="123"/>
      <c r="J144" s="130" t="str">
        <f>HYPERLINK("https://drive.google.com/open?id=0B2vBTVEfSzItYTFXeDZuT3YzcFE","4320")</f>
        <v>4320</v>
      </c>
      <c r="K144" s="132" t="str">
        <f t="shared" si="25"/>
        <v>4320</v>
      </c>
      <c r="L144" s="125"/>
      <c r="M144" s="46"/>
      <c r="N144" s="126"/>
      <c r="O144" s="126"/>
      <c r="P144" s="126"/>
      <c r="Q144" s="126"/>
      <c r="R144" s="126"/>
      <c r="S144" s="126"/>
      <c r="T144" s="135">
        <v>15</v>
      </c>
      <c r="U144" s="135">
        <f t="shared" si="22"/>
        <v>2566</v>
      </c>
      <c r="V144" s="129" t="str">
        <f t="shared" si="23"/>
        <v>43</v>
      </c>
      <c r="W144" s="121">
        <f t="shared" si="24"/>
        <v>36</v>
      </c>
      <c r="X144" s="121"/>
      <c r="Y144" s="121"/>
      <c r="Z144" s="121"/>
      <c r="AA144" s="121"/>
    </row>
    <row r="145" spans="1:27" ht="37.5">
      <c r="A145" s="88"/>
      <c r="B145" s="121">
        <v>4320</v>
      </c>
      <c r="C145" s="121" t="s">
        <v>256</v>
      </c>
      <c r="D145" s="88" t="s">
        <v>871</v>
      </c>
      <c r="E145" s="121">
        <v>54</v>
      </c>
      <c r="F145" s="46" t="s">
        <v>872</v>
      </c>
      <c r="G145" s="26" t="s">
        <v>78</v>
      </c>
      <c r="H145" s="122">
        <v>15000</v>
      </c>
      <c r="I145" s="123"/>
      <c r="J145" s="124"/>
      <c r="K145" s="132" t="str">
        <f t="shared" si="25"/>
        <v>4320</v>
      </c>
      <c r="L145" s="125"/>
      <c r="M145" s="46"/>
      <c r="N145" s="126"/>
      <c r="O145" s="126"/>
      <c r="P145" s="126"/>
      <c r="Q145" s="126"/>
      <c r="R145" s="126"/>
      <c r="S145" s="126"/>
      <c r="T145" s="135">
        <v>15</v>
      </c>
      <c r="U145" s="135">
        <f t="shared" si="22"/>
        <v>2567</v>
      </c>
      <c r="V145" s="129" t="str">
        <f t="shared" si="23"/>
        <v>43</v>
      </c>
      <c r="W145" s="121">
        <f t="shared" si="24"/>
        <v>36</v>
      </c>
      <c r="X145" s="121"/>
      <c r="Y145" s="121"/>
      <c r="Z145" s="121"/>
      <c r="AA145" s="121"/>
    </row>
    <row r="146" spans="1:27" ht="37.5">
      <c r="A146" s="88"/>
      <c r="B146" s="121">
        <v>4320</v>
      </c>
      <c r="C146" s="121" t="s">
        <v>256</v>
      </c>
      <c r="D146" s="88" t="s">
        <v>873</v>
      </c>
      <c r="E146" s="121">
        <v>57</v>
      </c>
      <c r="F146" s="46" t="s">
        <v>874</v>
      </c>
      <c r="G146" s="26" t="s">
        <v>78</v>
      </c>
      <c r="H146" s="122">
        <v>30000</v>
      </c>
      <c r="I146" s="123"/>
      <c r="J146" s="124"/>
      <c r="K146" s="132" t="str">
        <f t="shared" si="25"/>
        <v>4320</v>
      </c>
      <c r="L146" s="125"/>
      <c r="M146" s="46"/>
      <c r="N146" s="126"/>
      <c r="O146" s="126"/>
      <c r="P146" s="126"/>
      <c r="Q146" s="126"/>
      <c r="R146" s="126"/>
      <c r="S146" s="126"/>
      <c r="T146" s="135">
        <v>15</v>
      </c>
      <c r="U146" s="135">
        <f t="shared" si="22"/>
        <v>2570</v>
      </c>
      <c r="V146" s="129" t="str">
        <f t="shared" si="23"/>
        <v>43</v>
      </c>
      <c r="W146" s="121">
        <f t="shared" si="24"/>
        <v>36</v>
      </c>
      <c r="X146" s="121"/>
      <c r="Y146" s="121"/>
      <c r="Z146" s="121"/>
      <c r="AA146" s="121"/>
    </row>
    <row r="147" spans="1:27" ht="18.75">
      <c r="A147" s="88"/>
      <c r="B147" s="121">
        <v>4320</v>
      </c>
      <c r="C147" s="121" t="s">
        <v>256</v>
      </c>
      <c r="D147" s="88" t="s">
        <v>875</v>
      </c>
      <c r="E147" s="121">
        <v>57</v>
      </c>
      <c r="F147" s="46" t="s">
        <v>876</v>
      </c>
      <c r="G147" s="26" t="s">
        <v>78</v>
      </c>
      <c r="H147" s="122">
        <v>1400000</v>
      </c>
      <c r="I147" s="123"/>
      <c r="J147" s="130" t="str">
        <f>HYPERLINK("https://drive.google.com/open?id=0B2rLR4BADrBtS2g2SXJBTFJzRFU","4320")</f>
        <v>4320</v>
      </c>
      <c r="K147" s="133" t="str">
        <f>HYPERLINK("https://drive.google.com/drive/folders/0BwQ57SNHxB3BVHE3dUZJUnJPNHc","4320")</f>
        <v>4320</v>
      </c>
      <c r="L147" s="134"/>
      <c r="M147" s="46"/>
      <c r="N147" s="126"/>
      <c r="O147" s="126"/>
      <c r="P147" s="126"/>
      <c r="Q147" s="126"/>
      <c r="R147" s="126"/>
      <c r="S147" s="126"/>
      <c r="T147" s="135">
        <v>15</v>
      </c>
      <c r="U147" s="135">
        <f t="shared" si="22"/>
        <v>2570</v>
      </c>
      <c r="V147" s="129" t="str">
        <f t="shared" si="23"/>
        <v>43</v>
      </c>
      <c r="W147" s="121">
        <f t="shared" si="24"/>
        <v>36</v>
      </c>
      <c r="X147" s="121"/>
      <c r="Y147" s="121"/>
      <c r="Z147" s="121"/>
      <c r="AA147" s="121"/>
    </row>
    <row r="148" spans="1:27" ht="18.75">
      <c r="A148" s="88"/>
      <c r="B148" s="121">
        <v>4320</v>
      </c>
      <c r="C148" s="121" t="s">
        <v>256</v>
      </c>
      <c r="D148" s="88" t="s">
        <v>877</v>
      </c>
      <c r="E148" s="121">
        <v>57</v>
      </c>
      <c r="F148" s="46" t="s">
        <v>878</v>
      </c>
      <c r="G148" s="26" t="s">
        <v>78</v>
      </c>
      <c r="H148" s="122">
        <v>1900000</v>
      </c>
      <c r="I148" s="123"/>
      <c r="J148" s="130" t="str">
        <f>HYPERLINK("https://drive.google.com/open?id=0B2rLR4BADrBtOE12Z0xEOS1CZmM","4320")</f>
        <v>4320</v>
      </c>
      <c r="K148" s="132" t="str">
        <f>HYPERLINK("https://drive.google.com/drive/folders/0BwN2QqBc2z4QfjNIWThUWGJ3MDdiU2x4V1ZhdFFVazNTc0I1aVByYkVXQTFldkk5VDFkRWM","4320")</f>
        <v>4320</v>
      </c>
      <c r="L148" s="125"/>
      <c r="M148" s="136"/>
      <c r="N148" s="126"/>
      <c r="O148" s="126"/>
      <c r="P148" s="126"/>
      <c r="Q148" s="126"/>
      <c r="R148" s="126"/>
      <c r="S148" s="126"/>
      <c r="T148" s="135">
        <v>15</v>
      </c>
      <c r="U148" s="135">
        <f t="shared" si="22"/>
        <v>2570</v>
      </c>
      <c r="V148" s="129" t="str">
        <f t="shared" si="23"/>
        <v>43</v>
      </c>
      <c r="W148" s="121">
        <f t="shared" si="24"/>
        <v>36</v>
      </c>
      <c r="X148" s="121"/>
      <c r="Y148" s="121"/>
      <c r="Z148" s="121"/>
      <c r="AA148" s="121"/>
    </row>
    <row r="149" spans="1:27" ht="37.5">
      <c r="A149" s="88"/>
      <c r="B149" s="121">
        <v>4320</v>
      </c>
      <c r="C149" s="121" t="s">
        <v>256</v>
      </c>
      <c r="D149" s="88" t="s">
        <v>880</v>
      </c>
      <c r="E149" s="121">
        <v>54</v>
      </c>
      <c r="F149" s="46" t="s">
        <v>881</v>
      </c>
      <c r="G149" s="26" t="s">
        <v>78</v>
      </c>
      <c r="H149" s="122">
        <v>91500</v>
      </c>
      <c r="I149" s="123"/>
      <c r="J149" s="130" t="str">
        <f>HYPERLINK("https://drive.google.com/open?id=0B2rLR4BADrBtSXpub1JoRTJMLTQ","4320")</f>
        <v>4320</v>
      </c>
      <c r="K149" s="132" t="str">
        <f>HYPERLINK("https://drive.google.com/drive/folders/0BwN2QqBc2z4QfjNIWThUWGJ3MDdiU2x4V1ZhdFFVazNTc0I1aVByYkVXQTFldkk5VDFkRWM","4320")</f>
        <v>4320</v>
      </c>
      <c r="L149" s="125"/>
      <c r="M149" s="46"/>
      <c r="N149" s="126"/>
      <c r="O149" s="126"/>
      <c r="P149" s="126"/>
      <c r="Q149" s="126"/>
      <c r="R149" s="126"/>
      <c r="S149" s="126"/>
      <c r="T149" s="135">
        <v>15</v>
      </c>
      <c r="U149" s="135">
        <f t="shared" si="22"/>
        <v>2567</v>
      </c>
      <c r="V149" s="129" t="str">
        <f t="shared" si="23"/>
        <v>43</v>
      </c>
      <c r="W149" s="121">
        <f t="shared" si="24"/>
        <v>36</v>
      </c>
      <c r="X149" s="121"/>
      <c r="Y149" s="121"/>
      <c r="Z149" s="121"/>
      <c r="AA149" s="121"/>
    </row>
    <row r="150" spans="1:27" ht="37.5">
      <c r="A150" s="88"/>
      <c r="B150" s="121">
        <v>4320</v>
      </c>
      <c r="C150" s="121" t="s">
        <v>256</v>
      </c>
      <c r="D150" s="88" t="s">
        <v>882</v>
      </c>
      <c r="E150" s="121">
        <v>57</v>
      </c>
      <c r="F150" s="46" t="s">
        <v>883</v>
      </c>
      <c r="G150" s="26" t="s">
        <v>78</v>
      </c>
      <c r="H150" s="122">
        <v>400000</v>
      </c>
      <c r="I150" s="123"/>
      <c r="J150" s="130" t="str">
        <f>HYPERLINK("https://drive.google.com/open?id=0B2rLR4BADrBtd0d6OVh4a0JrWjQ","4320")</f>
        <v>4320</v>
      </c>
      <c r="K150" s="146" t="str">
        <f>HYPERLINK("https://drive.google.com/drive/folders/0BwN2QqBc2z4QfjNIWThUWGJ3MDdiU2x4V1ZhdFFVazNTc0I1aVByYkVXQTFldkk5VDFkRWM","4320")</f>
        <v>4320</v>
      </c>
      <c r="L150" s="147"/>
      <c r="M150" s="46"/>
      <c r="N150" s="126"/>
      <c r="O150" s="126"/>
      <c r="P150" s="126"/>
      <c r="Q150" s="126"/>
      <c r="R150" s="126"/>
      <c r="S150" s="126"/>
      <c r="T150" s="135">
        <v>15</v>
      </c>
      <c r="U150" s="135">
        <f t="shared" si="22"/>
        <v>2570</v>
      </c>
      <c r="V150" s="129" t="str">
        <f t="shared" si="23"/>
        <v>43</v>
      </c>
      <c r="W150" s="121">
        <f t="shared" si="24"/>
        <v>36</v>
      </c>
      <c r="X150" s="121"/>
      <c r="Y150" s="121"/>
      <c r="Z150" s="121"/>
      <c r="AA150" s="121"/>
    </row>
    <row r="151" spans="1:27" ht="18.75">
      <c r="A151" s="88"/>
      <c r="B151" s="121">
        <v>4320</v>
      </c>
      <c r="C151" s="121" t="s">
        <v>256</v>
      </c>
      <c r="D151" s="88" t="s">
        <v>884</v>
      </c>
      <c r="E151" s="121">
        <v>59</v>
      </c>
      <c r="F151" s="46" t="s">
        <v>885</v>
      </c>
      <c r="G151" s="26" t="s">
        <v>78</v>
      </c>
      <c r="H151" s="122">
        <v>40000</v>
      </c>
      <c r="I151" s="123"/>
      <c r="J151" s="124"/>
      <c r="K151" s="147"/>
      <c r="L151" s="147"/>
      <c r="M151" s="46"/>
      <c r="N151" s="126"/>
      <c r="O151" s="126"/>
      <c r="P151" s="126"/>
      <c r="Q151" s="126"/>
      <c r="R151" s="126"/>
      <c r="S151" s="126"/>
      <c r="T151" s="135"/>
      <c r="U151" s="135">
        <f t="shared" si="22"/>
        <v>2557</v>
      </c>
      <c r="V151" s="129" t="str">
        <f t="shared" si="23"/>
        <v>43</v>
      </c>
      <c r="W151" s="121">
        <f t="shared" si="24"/>
        <v>36</v>
      </c>
      <c r="X151" s="121"/>
      <c r="Y151" s="121"/>
      <c r="Z151" s="121"/>
      <c r="AA151" s="121"/>
    </row>
    <row r="152" spans="1:27" ht="37.5">
      <c r="A152" s="88"/>
      <c r="B152" s="121">
        <v>4320</v>
      </c>
      <c r="C152" s="121" t="s">
        <v>256</v>
      </c>
      <c r="D152" s="88" t="s">
        <v>887</v>
      </c>
      <c r="E152" s="121">
        <v>57</v>
      </c>
      <c r="F152" s="46" t="s">
        <v>888</v>
      </c>
      <c r="G152" s="26" t="s">
        <v>78</v>
      </c>
      <c r="H152" s="122">
        <v>450000</v>
      </c>
      <c r="I152" s="123"/>
      <c r="J152" s="124"/>
      <c r="K152" s="132" t="str">
        <f t="shared" ref="K152:K168" si="26">HYPERLINK("https://drive.google.com/drive/folders/0BwN2QqBc2z4QfjNIWThUWGJ3MDdiU2x4V1ZhdFFVazNTc0I1aVByYkVXQTFldkk5VDFkRWM","4320")</f>
        <v>4320</v>
      </c>
      <c r="L152" s="125"/>
      <c r="M152" s="46"/>
      <c r="N152" s="126"/>
      <c r="O152" s="126"/>
      <c r="P152" s="126"/>
      <c r="Q152" s="126"/>
      <c r="R152" s="126"/>
      <c r="S152" s="126"/>
      <c r="T152" s="135">
        <v>15</v>
      </c>
      <c r="U152" s="135">
        <f t="shared" si="22"/>
        <v>2570</v>
      </c>
      <c r="V152" s="129" t="str">
        <f t="shared" si="23"/>
        <v>43</v>
      </c>
      <c r="W152" s="121">
        <f t="shared" si="24"/>
        <v>36</v>
      </c>
      <c r="X152" s="121"/>
      <c r="Y152" s="121"/>
      <c r="Z152" s="121"/>
      <c r="AA152" s="121"/>
    </row>
    <row r="153" spans="1:27" ht="37.5">
      <c r="A153" s="88"/>
      <c r="B153" s="121">
        <v>4320</v>
      </c>
      <c r="C153" s="121" t="s">
        <v>256</v>
      </c>
      <c r="D153" s="88" t="s">
        <v>890</v>
      </c>
      <c r="E153" s="121">
        <v>57</v>
      </c>
      <c r="F153" s="46" t="s">
        <v>891</v>
      </c>
      <c r="G153" s="26" t="s">
        <v>78</v>
      </c>
      <c r="H153" s="122">
        <v>130000</v>
      </c>
      <c r="I153" s="123"/>
      <c r="J153" s="124"/>
      <c r="K153" s="146" t="str">
        <f t="shared" si="26"/>
        <v>4320</v>
      </c>
      <c r="L153" s="147"/>
      <c r="M153" s="46"/>
      <c r="N153" s="126"/>
      <c r="O153" s="126"/>
      <c r="P153" s="126"/>
      <c r="Q153" s="126"/>
      <c r="R153" s="126"/>
      <c r="S153" s="126"/>
      <c r="T153" s="128">
        <v>15</v>
      </c>
      <c r="U153" s="128">
        <f t="shared" si="22"/>
        <v>2570</v>
      </c>
      <c r="V153" s="129" t="str">
        <f t="shared" si="23"/>
        <v>43</v>
      </c>
      <c r="W153" s="121">
        <f t="shared" si="24"/>
        <v>36</v>
      </c>
      <c r="X153" s="121"/>
      <c r="Y153" s="121"/>
      <c r="Z153" s="121"/>
      <c r="AA153" s="121"/>
    </row>
    <row r="154" spans="1:27" ht="18.75">
      <c r="A154" s="88"/>
      <c r="B154" s="121">
        <v>4320</v>
      </c>
      <c r="C154" s="121" t="s">
        <v>256</v>
      </c>
      <c r="D154" s="88" t="s">
        <v>892</v>
      </c>
      <c r="E154" s="121">
        <v>56</v>
      </c>
      <c r="F154" s="46" t="s">
        <v>893</v>
      </c>
      <c r="G154" s="26" t="s">
        <v>78</v>
      </c>
      <c r="H154" s="122">
        <v>110000</v>
      </c>
      <c r="I154" s="123"/>
      <c r="J154" s="124"/>
      <c r="K154" s="132" t="str">
        <f t="shared" si="26"/>
        <v>4320</v>
      </c>
      <c r="L154" s="125"/>
      <c r="M154" s="46"/>
      <c r="N154" s="126"/>
      <c r="O154" s="126"/>
      <c r="P154" s="126"/>
      <c r="Q154" s="126"/>
      <c r="R154" s="126"/>
      <c r="S154" s="126"/>
      <c r="T154" s="135">
        <v>15</v>
      </c>
      <c r="U154" s="135">
        <f t="shared" si="22"/>
        <v>2569</v>
      </c>
      <c r="V154" s="129" t="str">
        <f t="shared" si="23"/>
        <v>43</v>
      </c>
      <c r="W154" s="121">
        <f t="shared" si="24"/>
        <v>36</v>
      </c>
      <c r="X154" s="121"/>
      <c r="Y154" s="121"/>
      <c r="Z154" s="121"/>
      <c r="AA154" s="121"/>
    </row>
    <row r="155" spans="1:27" ht="18.75">
      <c r="A155" s="88"/>
      <c r="B155" s="121">
        <v>4320</v>
      </c>
      <c r="C155" s="121" t="s">
        <v>256</v>
      </c>
      <c r="D155" s="88" t="s">
        <v>894</v>
      </c>
      <c r="E155" s="121">
        <v>57</v>
      </c>
      <c r="F155" s="46" t="s">
        <v>895</v>
      </c>
      <c r="G155" s="26" t="s">
        <v>78</v>
      </c>
      <c r="H155" s="122">
        <v>18200</v>
      </c>
      <c r="I155" s="123"/>
      <c r="J155" s="130" t="str">
        <f>HYPERLINK("https://drive.google.com/open?id=0B2rLR4BADrBtd3BoUXA1MGZ1TFU","4320")</f>
        <v>4320</v>
      </c>
      <c r="K155" s="146" t="str">
        <f t="shared" si="26"/>
        <v>4320</v>
      </c>
      <c r="L155" s="147"/>
      <c r="M155" s="46"/>
      <c r="N155" s="126"/>
      <c r="O155" s="126"/>
      <c r="P155" s="126"/>
      <c r="Q155" s="126"/>
      <c r="R155" s="126"/>
      <c r="S155" s="126"/>
      <c r="T155" s="135">
        <v>15</v>
      </c>
      <c r="U155" s="135">
        <f t="shared" si="22"/>
        <v>2570</v>
      </c>
      <c r="V155" s="129" t="str">
        <f t="shared" si="23"/>
        <v>43</v>
      </c>
      <c r="W155" s="121">
        <f t="shared" si="24"/>
        <v>36</v>
      </c>
      <c r="X155" s="121"/>
      <c r="Y155" s="121"/>
      <c r="Z155" s="121"/>
      <c r="AA155" s="121"/>
    </row>
    <row r="156" spans="1:27" ht="18.75">
      <c r="A156" s="88"/>
      <c r="B156" s="121">
        <v>4320</v>
      </c>
      <c r="C156" s="121" t="s">
        <v>256</v>
      </c>
      <c r="D156" s="88" t="s">
        <v>896</v>
      </c>
      <c r="E156" s="121">
        <v>53</v>
      </c>
      <c r="F156" s="46" t="s">
        <v>897</v>
      </c>
      <c r="G156" s="26" t="s">
        <v>78</v>
      </c>
      <c r="H156" s="122">
        <v>90000</v>
      </c>
      <c r="I156" s="123"/>
      <c r="J156" s="124"/>
      <c r="K156" s="132" t="str">
        <f t="shared" si="26"/>
        <v>4320</v>
      </c>
      <c r="L156" s="125"/>
      <c r="M156" s="46"/>
      <c r="N156" s="126"/>
      <c r="O156" s="126"/>
      <c r="P156" s="126"/>
      <c r="Q156" s="126"/>
      <c r="R156" s="126"/>
      <c r="S156" s="126"/>
      <c r="T156" s="135">
        <v>15</v>
      </c>
      <c r="U156" s="135">
        <f t="shared" si="22"/>
        <v>2566</v>
      </c>
      <c r="V156" s="129" t="str">
        <f t="shared" si="23"/>
        <v>43</v>
      </c>
      <c r="W156" s="121">
        <f t="shared" si="24"/>
        <v>36</v>
      </c>
      <c r="X156" s="121"/>
      <c r="Y156" s="121"/>
      <c r="Z156" s="121"/>
      <c r="AA156" s="121"/>
    </row>
    <row r="157" spans="1:27" ht="18.75">
      <c r="A157" s="88"/>
      <c r="B157" s="121">
        <v>4320</v>
      </c>
      <c r="C157" s="121" t="s">
        <v>256</v>
      </c>
      <c r="D157" s="88" t="s">
        <v>898</v>
      </c>
      <c r="E157" s="121">
        <v>56</v>
      </c>
      <c r="F157" s="46" t="s">
        <v>899</v>
      </c>
      <c r="G157" s="26" t="s">
        <v>78</v>
      </c>
      <c r="H157" s="122">
        <v>265000</v>
      </c>
      <c r="I157" s="123"/>
      <c r="J157" s="130" t="str">
        <f>HYPERLINK("https://drive.google.com/open?id=0B2rLR4BADrBtSlB1Z2lHQkwyaTA","4320")</f>
        <v>4320</v>
      </c>
      <c r="K157" s="132" t="str">
        <f t="shared" si="26"/>
        <v>4320</v>
      </c>
      <c r="L157" s="125"/>
      <c r="M157" s="46"/>
      <c r="N157" s="126"/>
      <c r="O157" s="126"/>
      <c r="P157" s="126"/>
      <c r="Q157" s="126"/>
      <c r="R157" s="126"/>
      <c r="S157" s="126"/>
      <c r="T157" s="135">
        <v>15</v>
      </c>
      <c r="U157" s="135">
        <f t="shared" si="22"/>
        <v>2569</v>
      </c>
      <c r="V157" s="129" t="str">
        <f t="shared" si="23"/>
        <v>43</v>
      </c>
      <c r="W157" s="121">
        <f t="shared" si="24"/>
        <v>36</v>
      </c>
      <c r="X157" s="121"/>
      <c r="Y157" s="121"/>
      <c r="Z157" s="121"/>
      <c r="AA157" s="121"/>
    </row>
    <row r="158" spans="1:27" ht="18.75">
      <c r="A158" s="88"/>
      <c r="B158" s="121">
        <v>4320</v>
      </c>
      <c r="C158" s="121" t="s">
        <v>256</v>
      </c>
      <c r="D158" s="88" t="s">
        <v>900</v>
      </c>
      <c r="E158" s="121">
        <v>57</v>
      </c>
      <c r="F158" s="46" t="s">
        <v>901</v>
      </c>
      <c r="G158" s="26" t="s">
        <v>78</v>
      </c>
      <c r="H158" s="122">
        <v>45000</v>
      </c>
      <c r="I158" s="123"/>
      <c r="J158" s="130" t="str">
        <f>HYPERLINK("https://drive.google.com/open?id=0B2rLR4BADrBtbHZENWk2REI0aDQ","4320")</f>
        <v>4320</v>
      </c>
      <c r="K158" s="146" t="str">
        <f t="shared" si="26"/>
        <v>4320</v>
      </c>
      <c r="L158" s="147"/>
      <c r="M158" s="46"/>
      <c r="N158" s="126"/>
      <c r="O158" s="126"/>
      <c r="P158" s="126"/>
      <c r="Q158" s="126"/>
      <c r="R158" s="126"/>
      <c r="S158" s="126"/>
      <c r="T158" s="135">
        <v>15</v>
      </c>
      <c r="U158" s="135">
        <f t="shared" si="22"/>
        <v>2570</v>
      </c>
      <c r="V158" s="129" t="str">
        <f t="shared" si="23"/>
        <v>43</v>
      </c>
      <c r="W158" s="121">
        <f t="shared" si="24"/>
        <v>36</v>
      </c>
      <c r="X158" s="121"/>
      <c r="Y158" s="121"/>
      <c r="Z158" s="121"/>
      <c r="AA158" s="121"/>
    </row>
    <row r="159" spans="1:27" ht="18.75">
      <c r="A159" s="88"/>
      <c r="B159" s="121">
        <v>4320</v>
      </c>
      <c r="C159" s="121" t="s">
        <v>256</v>
      </c>
      <c r="D159" s="88" t="s">
        <v>902</v>
      </c>
      <c r="E159" s="121">
        <v>57</v>
      </c>
      <c r="F159" s="46" t="s">
        <v>903</v>
      </c>
      <c r="G159" s="26" t="s">
        <v>78</v>
      </c>
      <c r="H159" s="122">
        <v>175000</v>
      </c>
      <c r="I159" s="123"/>
      <c r="J159" s="130" t="str">
        <f>HYPERLINK("https://drive.google.com/open?id=0B2rLR4BADrBtY21PZjFvSXhBdWM","4320")</f>
        <v>4320</v>
      </c>
      <c r="K159" s="146" t="str">
        <f t="shared" si="26"/>
        <v>4320</v>
      </c>
      <c r="L159" s="147"/>
      <c r="M159" s="46"/>
      <c r="N159" s="126"/>
      <c r="O159" s="126"/>
      <c r="P159" s="126"/>
      <c r="Q159" s="126"/>
      <c r="R159" s="126"/>
      <c r="S159" s="126"/>
      <c r="T159" s="135">
        <v>15</v>
      </c>
      <c r="U159" s="135">
        <f t="shared" si="22"/>
        <v>2570</v>
      </c>
      <c r="V159" s="129" t="str">
        <f t="shared" si="23"/>
        <v>43</v>
      </c>
      <c r="W159" s="121">
        <f t="shared" si="24"/>
        <v>36</v>
      </c>
      <c r="X159" s="121"/>
      <c r="Y159" s="121"/>
      <c r="Z159" s="121"/>
      <c r="AA159" s="121"/>
    </row>
    <row r="160" spans="1:27" ht="18.75">
      <c r="A160" s="88"/>
      <c r="B160" s="121">
        <v>4320</v>
      </c>
      <c r="C160" s="121" t="s">
        <v>256</v>
      </c>
      <c r="D160" s="88" t="s">
        <v>904</v>
      </c>
      <c r="E160" s="121">
        <v>57</v>
      </c>
      <c r="F160" s="46" t="s">
        <v>905</v>
      </c>
      <c r="G160" s="26" t="s">
        <v>78</v>
      </c>
      <c r="H160" s="122">
        <v>11000</v>
      </c>
      <c r="I160" s="123"/>
      <c r="J160" s="130" t="str">
        <f>HYPERLINK("https://drive.google.com/open?id=0B2rLR4BADrBtY0NoRksyTmZkMW8","4320")</f>
        <v>4320</v>
      </c>
      <c r="K160" s="146" t="str">
        <f t="shared" si="26"/>
        <v>4320</v>
      </c>
      <c r="L160" s="147"/>
      <c r="M160" s="46"/>
      <c r="N160" s="126"/>
      <c r="O160" s="126"/>
      <c r="P160" s="126"/>
      <c r="Q160" s="126"/>
      <c r="R160" s="126"/>
      <c r="S160" s="126"/>
      <c r="T160" s="135">
        <v>15</v>
      </c>
      <c r="U160" s="135">
        <f t="shared" si="22"/>
        <v>2570</v>
      </c>
      <c r="V160" s="129" t="str">
        <f t="shared" si="23"/>
        <v>43</v>
      </c>
      <c r="W160" s="121">
        <f t="shared" si="24"/>
        <v>36</v>
      </c>
      <c r="X160" s="121"/>
      <c r="Y160" s="121"/>
      <c r="Z160" s="121"/>
      <c r="AA160" s="121"/>
    </row>
    <row r="161" spans="1:27" ht="18.75">
      <c r="A161" s="88"/>
      <c r="B161" s="121">
        <v>4320</v>
      </c>
      <c r="C161" s="121" t="s">
        <v>256</v>
      </c>
      <c r="D161" s="88" t="s">
        <v>907</v>
      </c>
      <c r="E161" s="121">
        <v>54</v>
      </c>
      <c r="F161" s="46" t="s">
        <v>908</v>
      </c>
      <c r="G161" s="26" t="s">
        <v>78</v>
      </c>
      <c r="H161" s="122">
        <v>60000</v>
      </c>
      <c r="I161" s="123"/>
      <c r="J161" s="130" t="str">
        <f>HYPERLINK("https://drive.google.com/open?id=0B2rLR4BADrBtNTVKQWF4WER0aUk","4320")</f>
        <v>4320</v>
      </c>
      <c r="K161" s="132" t="str">
        <f t="shared" si="26"/>
        <v>4320</v>
      </c>
      <c r="L161" s="125"/>
      <c r="M161" s="46"/>
      <c r="N161" s="126"/>
      <c r="O161" s="126"/>
      <c r="P161" s="126"/>
      <c r="Q161" s="126"/>
      <c r="R161" s="126"/>
      <c r="S161" s="126"/>
      <c r="T161" s="128">
        <v>15</v>
      </c>
      <c r="U161" s="128">
        <f t="shared" si="22"/>
        <v>2567</v>
      </c>
      <c r="V161" s="129" t="str">
        <f t="shared" si="23"/>
        <v>43</v>
      </c>
      <c r="W161" s="121">
        <f t="shared" si="24"/>
        <v>36</v>
      </c>
      <c r="X161" s="121"/>
      <c r="Y161" s="121"/>
      <c r="Z161" s="121"/>
      <c r="AA161" s="121"/>
    </row>
    <row r="162" spans="1:27" ht="18.75">
      <c r="A162" s="88"/>
      <c r="B162" s="121">
        <v>4320</v>
      </c>
      <c r="C162" s="121" t="s">
        <v>256</v>
      </c>
      <c r="D162" s="88" t="s">
        <v>909</v>
      </c>
      <c r="E162" s="121">
        <v>54</v>
      </c>
      <c r="F162" s="46" t="s">
        <v>910</v>
      </c>
      <c r="G162" s="26" t="s">
        <v>78</v>
      </c>
      <c r="H162" s="122">
        <v>8500</v>
      </c>
      <c r="I162" s="123"/>
      <c r="J162" s="130" t="str">
        <f>HYPERLINK("https://drive.google.com/open?id=0B2rLR4BADrBtTnhUMmFORG9hUEE","4320")</f>
        <v>4320</v>
      </c>
      <c r="K162" s="132" t="str">
        <f t="shared" si="26"/>
        <v>4320</v>
      </c>
      <c r="L162" s="125"/>
      <c r="M162" s="46"/>
      <c r="N162" s="126"/>
      <c r="O162" s="126"/>
      <c r="P162" s="126"/>
      <c r="Q162" s="126"/>
      <c r="R162" s="126"/>
      <c r="S162" s="126"/>
      <c r="T162" s="135">
        <v>15</v>
      </c>
      <c r="U162" s="135">
        <f t="shared" si="22"/>
        <v>2567</v>
      </c>
      <c r="V162" s="129" t="str">
        <f t="shared" si="23"/>
        <v>43</v>
      </c>
      <c r="W162" s="121">
        <f t="shared" si="24"/>
        <v>36</v>
      </c>
      <c r="X162" s="121"/>
      <c r="Y162" s="121"/>
      <c r="Z162" s="121"/>
      <c r="AA162" s="121"/>
    </row>
    <row r="163" spans="1:27" ht="18.75">
      <c r="A163" s="88"/>
      <c r="B163" s="121">
        <v>4320</v>
      </c>
      <c r="C163" s="121" t="s">
        <v>256</v>
      </c>
      <c r="D163" s="88" t="s">
        <v>911</v>
      </c>
      <c r="E163" s="121">
        <v>54</v>
      </c>
      <c r="F163" s="46" t="s">
        <v>912</v>
      </c>
      <c r="G163" s="26" t="s">
        <v>78</v>
      </c>
      <c r="H163" s="122">
        <v>14000</v>
      </c>
      <c r="I163" s="123"/>
      <c r="J163" s="130" t="str">
        <f>HYPERLINK("https://drive.google.com/open?id=0B2rLR4BADrBtWmdVUmQweHBadUU","4320")</f>
        <v>4320</v>
      </c>
      <c r="K163" s="132" t="str">
        <f t="shared" si="26"/>
        <v>4320</v>
      </c>
      <c r="L163" s="125"/>
      <c r="M163" s="46"/>
      <c r="N163" s="126"/>
      <c r="O163" s="126"/>
      <c r="P163" s="126"/>
      <c r="Q163" s="126"/>
      <c r="R163" s="126"/>
      <c r="S163" s="126"/>
      <c r="T163" s="135">
        <v>15</v>
      </c>
      <c r="U163" s="135">
        <f t="shared" si="22"/>
        <v>2567</v>
      </c>
      <c r="V163" s="129" t="str">
        <f t="shared" si="23"/>
        <v>43</v>
      </c>
      <c r="W163" s="121">
        <f t="shared" si="24"/>
        <v>36</v>
      </c>
      <c r="X163" s="121"/>
      <c r="Y163" s="121"/>
      <c r="Z163" s="121"/>
      <c r="AA163" s="121"/>
    </row>
    <row r="164" spans="1:27" ht="18.75">
      <c r="A164" s="88"/>
      <c r="B164" s="121">
        <v>4320</v>
      </c>
      <c r="C164" s="121" t="s">
        <v>256</v>
      </c>
      <c r="D164" s="88" t="s">
        <v>913</v>
      </c>
      <c r="E164" s="121">
        <v>54</v>
      </c>
      <c r="F164" s="46" t="s">
        <v>914</v>
      </c>
      <c r="G164" s="26" t="s">
        <v>78</v>
      </c>
      <c r="H164" s="122">
        <v>21000</v>
      </c>
      <c r="I164" s="123"/>
      <c r="J164" s="124"/>
      <c r="K164" s="132" t="str">
        <f t="shared" si="26"/>
        <v>4320</v>
      </c>
      <c r="L164" s="125"/>
      <c r="M164" s="46"/>
      <c r="N164" s="126"/>
      <c r="O164" s="126"/>
      <c r="P164" s="126"/>
      <c r="Q164" s="126"/>
      <c r="R164" s="126"/>
      <c r="S164" s="126"/>
      <c r="T164" s="128">
        <v>15</v>
      </c>
      <c r="U164" s="128">
        <f t="shared" si="22"/>
        <v>2567</v>
      </c>
      <c r="V164" s="129" t="str">
        <f t="shared" si="23"/>
        <v>43</v>
      </c>
      <c r="W164" s="121">
        <f t="shared" si="24"/>
        <v>36</v>
      </c>
      <c r="X164" s="121"/>
      <c r="Y164" s="121"/>
      <c r="Z164" s="121"/>
      <c r="AA164" s="121"/>
    </row>
    <row r="165" spans="1:27" ht="18.75">
      <c r="A165" s="88"/>
      <c r="B165" s="121">
        <v>4320</v>
      </c>
      <c r="C165" s="121" t="s">
        <v>256</v>
      </c>
      <c r="D165" s="88" t="s">
        <v>915</v>
      </c>
      <c r="E165" s="121">
        <v>54</v>
      </c>
      <c r="F165" s="46" t="s">
        <v>916</v>
      </c>
      <c r="G165" s="26" t="s">
        <v>78</v>
      </c>
      <c r="H165" s="122">
        <v>15000</v>
      </c>
      <c r="I165" s="123"/>
      <c r="J165" s="130" t="str">
        <f>HYPERLINK("https://drive.google.com/open?id=0B2rLR4BADrBtcE41dHdTRFB1UUU","4320")</f>
        <v>4320</v>
      </c>
      <c r="K165" s="132" t="str">
        <f t="shared" si="26"/>
        <v>4320</v>
      </c>
      <c r="L165" s="125"/>
      <c r="M165" s="46"/>
      <c r="N165" s="126"/>
      <c r="O165" s="126"/>
      <c r="P165" s="126"/>
      <c r="Q165" s="126"/>
      <c r="R165" s="126"/>
      <c r="S165" s="126"/>
      <c r="T165" s="128">
        <v>15</v>
      </c>
      <c r="U165" s="128">
        <f t="shared" si="22"/>
        <v>2567</v>
      </c>
      <c r="V165" s="129" t="str">
        <f t="shared" si="23"/>
        <v>43</v>
      </c>
      <c r="W165" s="121">
        <f t="shared" si="24"/>
        <v>36</v>
      </c>
      <c r="X165" s="121"/>
      <c r="Y165" s="121"/>
      <c r="Z165" s="121"/>
      <c r="AA165" s="121"/>
    </row>
    <row r="166" spans="1:27" ht="18.75">
      <c r="A166" s="88"/>
      <c r="B166" s="121">
        <v>4320</v>
      </c>
      <c r="C166" s="121" t="s">
        <v>256</v>
      </c>
      <c r="D166" s="88" t="s">
        <v>917</v>
      </c>
      <c r="E166" s="121">
        <v>56</v>
      </c>
      <c r="F166" s="46" t="s">
        <v>918</v>
      </c>
      <c r="G166" s="26" t="s">
        <v>78</v>
      </c>
      <c r="H166" s="122">
        <v>260000</v>
      </c>
      <c r="I166" s="123"/>
      <c r="J166" s="130" t="str">
        <f>HYPERLINK("https://drive.google.com/open?id=0B2rLR4BADrBtOE4teGFJS1VYdmM","4320")</f>
        <v>4320</v>
      </c>
      <c r="K166" s="132" t="str">
        <f t="shared" si="26"/>
        <v>4320</v>
      </c>
      <c r="L166" s="125"/>
      <c r="M166" s="46"/>
      <c r="N166" s="126"/>
      <c r="O166" s="126"/>
      <c r="P166" s="126"/>
      <c r="Q166" s="126"/>
      <c r="R166" s="126"/>
      <c r="S166" s="126"/>
      <c r="T166" s="135">
        <v>15</v>
      </c>
      <c r="U166" s="135">
        <f t="shared" si="22"/>
        <v>2569</v>
      </c>
      <c r="V166" s="129" t="str">
        <f t="shared" si="23"/>
        <v>43</v>
      </c>
      <c r="W166" s="121">
        <f t="shared" si="24"/>
        <v>36</v>
      </c>
      <c r="X166" s="121"/>
      <c r="Y166" s="121"/>
      <c r="Z166" s="121"/>
      <c r="AA166" s="121"/>
    </row>
    <row r="167" spans="1:27" ht="18.75">
      <c r="A167" s="88"/>
      <c r="B167" s="121">
        <v>4320</v>
      </c>
      <c r="C167" s="121" t="s">
        <v>256</v>
      </c>
      <c r="D167" s="88" t="s">
        <v>921</v>
      </c>
      <c r="E167" s="121">
        <v>56</v>
      </c>
      <c r="F167" s="46" t="s">
        <v>922</v>
      </c>
      <c r="G167" s="26" t="s">
        <v>78</v>
      </c>
      <c r="H167" s="122">
        <v>75000</v>
      </c>
      <c r="I167" s="123"/>
      <c r="J167" s="130" t="str">
        <f>HYPERLINK("https://drive.google.com/open?id=0B2rLR4BADrBtMjh0dW9aWFRseGs","4320")</f>
        <v>4320</v>
      </c>
      <c r="K167" s="132" t="str">
        <f t="shared" si="26"/>
        <v>4320</v>
      </c>
      <c r="L167" s="125"/>
      <c r="M167" s="46"/>
      <c r="N167" s="126"/>
      <c r="O167" s="126"/>
      <c r="P167" s="126"/>
      <c r="Q167" s="126"/>
      <c r="R167" s="126"/>
      <c r="S167" s="126"/>
      <c r="T167" s="135">
        <v>15</v>
      </c>
      <c r="U167" s="135">
        <f t="shared" si="22"/>
        <v>2569</v>
      </c>
      <c r="V167" s="129" t="str">
        <f t="shared" si="23"/>
        <v>43</v>
      </c>
      <c r="W167" s="121">
        <f t="shared" si="24"/>
        <v>36</v>
      </c>
      <c r="X167" s="121"/>
      <c r="Y167" s="121"/>
      <c r="Z167" s="121"/>
      <c r="AA167" s="121"/>
    </row>
    <row r="168" spans="1:27" ht="18.75">
      <c r="A168" s="88"/>
      <c r="B168" s="121">
        <v>4320</v>
      </c>
      <c r="C168" s="121" t="s">
        <v>256</v>
      </c>
      <c r="D168" s="88" t="s">
        <v>923</v>
      </c>
      <c r="E168" s="121">
        <v>56</v>
      </c>
      <c r="F168" s="46" t="s">
        <v>924</v>
      </c>
      <c r="G168" s="26" t="s">
        <v>78</v>
      </c>
      <c r="H168" s="122">
        <v>80000</v>
      </c>
      <c r="I168" s="123"/>
      <c r="J168" s="130" t="str">
        <f>HYPERLINK("https://drive.google.com/open?id=0B2rLR4BADrBtVWNGMUk3OXA5R0U","4320")</f>
        <v>4320</v>
      </c>
      <c r="K168" s="132" t="str">
        <f t="shared" si="26"/>
        <v>4320</v>
      </c>
      <c r="L168" s="125"/>
      <c r="M168" s="46"/>
      <c r="N168" s="126"/>
      <c r="O168" s="126"/>
      <c r="P168" s="126"/>
      <c r="Q168" s="126"/>
      <c r="R168" s="126"/>
      <c r="S168" s="126"/>
      <c r="T168" s="135">
        <v>15</v>
      </c>
      <c r="U168" s="135">
        <f t="shared" si="22"/>
        <v>2569</v>
      </c>
      <c r="V168" s="129" t="str">
        <f t="shared" si="23"/>
        <v>43</v>
      </c>
      <c r="W168" s="121">
        <f t="shared" si="24"/>
        <v>36</v>
      </c>
      <c r="X168" s="121"/>
      <c r="Y168" s="121"/>
      <c r="Z168" s="121"/>
      <c r="AA168" s="121"/>
    </row>
    <row r="169" spans="1:27" ht="18.75">
      <c r="A169" s="118"/>
      <c r="B169" s="118">
        <v>4400</v>
      </c>
      <c r="C169" s="117"/>
      <c r="D169" s="117" t="str">
        <f>"พัสดุ"&amp; VLOOKUP(V169,'เลขSpec.2 ตัวแรก'!$A$2:$B$100,2,FALSE)&amp; " จำนวน "&amp;W169&amp;" รายการ"</f>
        <v>พัสดุหมวด 44 เตาหลอม เครื่องไอน้ำและบริภัณฑ์ทำให้แห้ง จำนวน 8 รายการ</v>
      </c>
      <c r="E169" s="117"/>
      <c r="F169" s="118"/>
      <c r="G169" s="117"/>
      <c r="H169" s="117"/>
      <c r="I169" s="117"/>
      <c r="J169" s="117"/>
      <c r="K169" s="117"/>
      <c r="L169" s="119"/>
      <c r="M169" s="118"/>
      <c r="N169" s="119"/>
      <c r="O169" s="117"/>
      <c r="P169" s="117"/>
      <c r="Q169" s="117"/>
      <c r="R169" s="118"/>
      <c r="S169" s="117"/>
      <c r="T169" s="117"/>
      <c r="U169" s="117"/>
      <c r="V169" s="117" t="str">
        <f t="shared" si="23"/>
        <v>44</v>
      </c>
      <c r="W169" s="117">
        <f>COUNTIF($V$2:$V$286,V169)-1</f>
        <v>8</v>
      </c>
      <c r="X169" s="119"/>
      <c r="Y169" s="24"/>
      <c r="Z169" s="24"/>
      <c r="AA169" s="24"/>
    </row>
    <row r="170" spans="1:27" ht="18.75">
      <c r="A170" s="88"/>
      <c r="B170" s="121">
        <v>4440</v>
      </c>
      <c r="C170" s="121" t="s">
        <v>372</v>
      </c>
      <c r="D170" s="88" t="s">
        <v>927</v>
      </c>
      <c r="E170" s="121">
        <v>55</v>
      </c>
      <c r="F170" s="46" t="s">
        <v>928</v>
      </c>
      <c r="G170" s="26" t="s">
        <v>78</v>
      </c>
      <c r="H170" s="122">
        <v>455000</v>
      </c>
      <c r="I170" s="123"/>
      <c r="J170" s="130" t="str">
        <f>HYPERLINK("https://drive.google.com/open?id=0B2rLR4BADrBtME90b3NzbDlac2c","4440")</f>
        <v>4440</v>
      </c>
      <c r="K170" s="132" t="str">
        <f>HYPERLINK("https://drive.google.com/drive/folders/0BwN2QqBc2z4QfmlKYlJFeEl3MzFrVnpLMm5WVWlvMThwdkxFUEV3dzZ3S0d3eWJGVXNHeE0","4440")</f>
        <v>4440</v>
      </c>
      <c r="L170" s="148">
        <v>4440356813263</v>
      </c>
      <c r="M170" s="46"/>
      <c r="N170" s="126"/>
      <c r="O170" s="126"/>
      <c r="P170" s="126"/>
      <c r="Q170" s="126"/>
      <c r="R170" s="126"/>
      <c r="S170" s="126"/>
      <c r="T170" s="135">
        <v>15</v>
      </c>
      <c r="U170" s="135">
        <f>E170+T170-2+2500</f>
        <v>2568</v>
      </c>
      <c r="V170" s="26" t="str">
        <f t="shared" si="23"/>
        <v>44</v>
      </c>
      <c r="W170" s="121">
        <f>COUNTIF('52-62 (สำหรับ จก.ตรวจเยี่ยม)'!$V$4:$V$286,V170)-1</f>
        <v>8</v>
      </c>
      <c r="X170" s="121" t="s">
        <v>548</v>
      </c>
      <c r="Y170" s="121"/>
      <c r="Z170" s="121"/>
      <c r="AA170" s="121"/>
    </row>
    <row r="171" spans="1:27" ht="18.75">
      <c r="A171" s="88"/>
      <c r="B171" s="121">
        <v>4440</v>
      </c>
      <c r="C171" s="121" t="s">
        <v>372</v>
      </c>
      <c r="D171" s="88" t="s">
        <v>929</v>
      </c>
      <c r="E171" s="121">
        <v>55</v>
      </c>
      <c r="F171" s="46" t="s">
        <v>930</v>
      </c>
      <c r="G171" s="26" t="s">
        <v>78</v>
      </c>
      <c r="H171" s="122">
        <v>650000</v>
      </c>
      <c r="I171" s="123"/>
      <c r="J171" s="130" t="str">
        <f>HYPERLINK("https://drive.google.com/open?id=0B2rLR4BADrBtVnIxYmlpdVJ4ZmM","4440")</f>
        <v>4440</v>
      </c>
      <c r="K171" s="132" t="str">
        <f>HYPERLINK("https://drive.google.com/drive/folders/0BwN2QqBc2z4QfmlKYlJFeEl3MzFrVnpLMm5WVWlvMThwdkxFUEV3dzZ3S0d3eWJGVXNHeE0","4440")</f>
        <v>4440</v>
      </c>
      <c r="L171" s="148">
        <v>4440356813267</v>
      </c>
      <c r="M171" s="46"/>
      <c r="N171" s="126"/>
      <c r="O171" s="126"/>
      <c r="P171" s="126"/>
      <c r="Q171" s="126"/>
      <c r="R171" s="126"/>
      <c r="S171" s="126"/>
      <c r="T171" s="135">
        <v>15</v>
      </c>
      <c r="U171" s="135">
        <f>E171+T171-2+2500</f>
        <v>2568</v>
      </c>
      <c r="V171" s="26" t="str">
        <f t="shared" si="23"/>
        <v>44</v>
      </c>
      <c r="W171" s="121">
        <f>COUNTIF('52-62 (สำหรับ จก.ตรวจเยี่ยม)'!$V$4:$V$286,V171)-1</f>
        <v>8</v>
      </c>
      <c r="X171" s="121" t="s">
        <v>548</v>
      </c>
      <c r="Y171" s="121"/>
      <c r="Z171" s="121"/>
      <c r="AA171" s="121"/>
    </row>
    <row r="172" spans="1:27" ht="18.75">
      <c r="A172" s="88"/>
      <c r="B172" s="121">
        <v>4440</v>
      </c>
      <c r="C172" s="121" t="s">
        <v>372</v>
      </c>
      <c r="D172" s="88" t="s">
        <v>931</v>
      </c>
      <c r="E172" s="121">
        <v>55</v>
      </c>
      <c r="F172" s="46" t="s">
        <v>932</v>
      </c>
      <c r="G172" s="26" t="s">
        <v>78</v>
      </c>
      <c r="H172" s="122">
        <v>850000</v>
      </c>
      <c r="I172" s="123"/>
      <c r="J172" s="130" t="str">
        <f>HYPERLINK("https://drive.google.com/open?id=0B2rLR4BADrBtRnpBMzFlNnlXLWc","4440")</f>
        <v>4440</v>
      </c>
      <c r="K172" s="132" t="str">
        <f>HYPERLINK("https://drive.google.com/drive/folders/0BwN2QqBc2z4QfmlKYlJFeEl3MzFrVnpLMm5WVWlvMThwdkxFUEV3dzZ3S0d3eWJGVXNHeE0","4440")</f>
        <v>4440</v>
      </c>
      <c r="L172" s="148">
        <v>4440356813276</v>
      </c>
      <c r="M172" s="46"/>
      <c r="N172" s="126"/>
      <c r="O172" s="126"/>
      <c r="P172" s="126"/>
      <c r="Q172" s="126"/>
      <c r="R172" s="126"/>
      <c r="S172" s="126"/>
      <c r="T172" s="135">
        <v>15</v>
      </c>
      <c r="U172" s="135">
        <f>E172+T172-2+2500</f>
        <v>2568</v>
      </c>
      <c r="V172" s="26" t="str">
        <f t="shared" si="23"/>
        <v>44</v>
      </c>
      <c r="W172" s="121">
        <f>COUNTIF('52-62 (สำหรับ จก.ตรวจเยี่ยม)'!$V$4:$V$286,V172)-1</f>
        <v>8</v>
      </c>
      <c r="X172" s="121" t="s">
        <v>548</v>
      </c>
      <c r="Y172" s="121"/>
      <c r="Z172" s="121"/>
      <c r="AA172" s="121"/>
    </row>
    <row r="173" spans="1:27" ht="18.75">
      <c r="A173" s="88"/>
      <c r="B173" s="121">
        <v>4440</v>
      </c>
      <c r="C173" s="121" t="s">
        <v>372</v>
      </c>
      <c r="D173" s="88" t="s">
        <v>933</v>
      </c>
      <c r="E173" s="121">
        <v>55</v>
      </c>
      <c r="F173" s="46" t="s">
        <v>934</v>
      </c>
      <c r="G173" s="26" t="s">
        <v>78</v>
      </c>
      <c r="H173" s="122">
        <v>255000</v>
      </c>
      <c r="I173" s="123"/>
      <c r="J173" s="130" t="str">
        <f>HYPERLINK("https://drive.google.com/open?id=0B2rLR4BADrBtWnpYSGN3eDk4TVU","4440")</f>
        <v>4440</v>
      </c>
      <c r="K173" s="132" t="str">
        <f>HYPERLINK("https://drive.google.com/drive/folders/0BwN2QqBc2z4QfmlKYlJFeEl3MzFrVnpLMm5WVWlvMThwdkxFUEV3dzZ3S0d3eWJGVXNHeE0","4440")</f>
        <v>4440</v>
      </c>
      <c r="L173" s="148">
        <v>4440356813277</v>
      </c>
      <c r="M173" s="46"/>
      <c r="N173" s="126"/>
      <c r="O173" s="126"/>
      <c r="P173" s="126"/>
      <c r="Q173" s="126"/>
      <c r="R173" s="126"/>
      <c r="S173" s="126"/>
      <c r="T173" s="135">
        <v>15</v>
      </c>
      <c r="U173" s="135">
        <f>E173+T173-2+2500</f>
        <v>2568</v>
      </c>
      <c r="V173" s="26" t="str">
        <f t="shared" si="23"/>
        <v>44</v>
      </c>
      <c r="W173" s="121">
        <f>COUNTIF('52-62 (สำหรับ จก.ตรวจเยี่ยม)'!$V$4:$V$286,V173)-1</f>
        <v>8</v>
      </c>
      <c r="X173" s="121" t="s">
        <v>548</v>
      </c>
      <c r="Y173" s="121"/>
      <c r="Z173" s="121"/>
      <c r="AA173" s="121"/>
    </row>
    <row r="174" spans="1:27" ht="18.75">
      <c r="A174" s="88"/>
      <c r="B174" s="121">
        <v>4460</v>
      </c>
      <c r="C174" s="121" t="s">
        <v>683</v>
      </c>
      <c r="D174" s="88" t="s">
        <v>935</v>
      </c>
      <c r="E174" s="121">
        <v>61</v>
      </c>
      <c r="F174" s="46" t="s">
        <v>720</v>
      </c>
      <c r="G174" s="26" t="s">
        <v>78</v>
      </c>
      <c r="H174" s="122">
        <v>175000</v>
      </c>
      <c r="I174" s="123"/>
      <c r="J174" s="130" t="str">
        <f>HYPERLINK("https://drive.google.com/open?id=1j-lp9rojTnyC4oWYkiDQXyIf_w8sgig-","4460")</f>
        <v>4460</v>
      </c>
      <c r="K174" s="125"/>
      <c r="L174" s="125"/>
      <c r="M174" s="46"/>
      <c r="N174" s="126"/>
      <c r="O174" s="126"/>
      <c r="P174" s="126"/>
      <c r="Q174" s="126"/>
      <c r="R174" s="126"/>
      <c r="S174" s="126"/>
      <c r="T174" s="128"/>
      <c r="U174" s="128"/>
      <c r="V174" s="26" t="str">
        <f t="shared" si="23"/>
        <v>44</v>
      </c>
      <c r="W174" s="121">
        <f>COUNTIF('52-62 (สำหรับ จก.ตรวจเยี่ยม)'!$V$4:$V$286,V174)-1</f>
        <v>8</v>
      </c>
      <c r="X174" s="121"/>
      <c r="Y174" s="121"/>
      <c r="Z174" s="121"/>
      <c r="AA174" s="121"/>
    </row>
    <row r="175" spans="1:27" ht="18.75">
      <c r="A175" s="88"/>
      <c r="B175" s="121">
        <v>4460</v>
      </c>
      <c r="C175" s="121" t="s">
        <v>372</v>
      </c>
      <c r="D175" s="88" t="s">
        <v>936</v>
      </c>
      <c r="E175" s="121">
        <v>52</v>
      </c>
      <c r="F175" s="46" t="s">
        <v>937</v>
      </c>
      <c r="G175" s="26" t="s">
        <v>78</v>
      </c>
      <c r="H175" s="122">
        <v>55000</v>
      </c>
      <c r="I175" s="123"/>
      <c r="J175" s="130" t="str">
        <f>HYPERLINK("https://drive.google.com/open?id=0B2rLR4BADrBtRG9hZjBOclJ2S28","4460")</f>
        <v>4460</v>
      </c>
      <c r="K175" s="132" t="str">
        <f>HYPERLINK("https://drive.google.com/drive/folders/0BwN2QqBc2z4QfmlKYlJFeEl3MzFrVnpLMm5WVWlvMThwdkxFUEV3dzZ3S0d3eWJGVXNHeE0","4440")</f>
        <v>4440</v>
      </c>
      <c r="L175" s="88" t="s">
        <v>938</v>
      </c>
      <c r="M175" s="46"/>
      <c r="N175" s="126"/>
      <c r="O175" s="126"/>
      <c r="P175" s="126"/>
      <c r="Q175" s="126"/>
      <c r="R175" s="126"/>
      <c r="S175" s="126"/>
      <c r="T175" s="128">
        <v>15</v>
      </c>
      <c r="U175" s="128">
        <f>E175+T175-2+2500</f>
        <v>2565</v>
      </c>
      <c r="V175" s="26" t="str">
        <f t="shared" si="23"/>
        <v>44</v>
      </c>
      <c r="W175" s="121">
        <f>COUNTIF($V$4:$V$286,V175)-1</f>
        <v>8</v>
      </c>
      <c r="X175" s="121" t="s">
        <v>548</v>
      </c>
      <c r="Y175" s="121"/>
      <c r="Z175" s="121"/>
      <c r="AA175" s="121"/>
    </row>
    <row r="176" spans="1:27" ht="18.75">
      <c r="A176" s="88"/>
      <c r="B176" s="121">
        <v>4460</v>
      </c>
      <c r="C176" s="121" t="s">
        <v>157</v>
      </c>
      <c r="D176" s="88" t="s">
        <v>939</v>
      </c>
      <c r="E176" s="121">
        <v>52</v>
      </c>
      <c r="F176" s="46" t="s">
        <v>940</v>
      </c>
      <c r="G176" s="26" t="s">
        <v>78</v>
      </c>
      <c r="H176" s="122">
        <v>47000</v>
      </c>
      <c r="I176" s="123"/>
      <c r="J176" s="130" t="str">
        <f>HYPERLINK("https://drive.google.com/open?id=0B2rLR4BADrBtajNua2hRbl9FTEU","4460")</f>
        <v>4460</v>
      </c>
      <c r="K176" s="132" t="str">
        <f>HYPERLINK("https://drive.google.com/drive/folders/0BwN2QqBc2z4QfmlKYlJFeEl3MzFrVnpLMm5WVWlvMThwdkxFUEV3dzZ3S0d3eWJGVXNHeE0","4440")</f>
        <v>4440</v>
      </c>
      <c r="L176" s="125"/>
      <c r="M176" s="46"/>
      <c r="N176" s="126"/>
      <c r="O176" s="126"/>
      <c r="P176" s="126"/>
      <c r="Q176" s="126"/>
      <c r="R176" s="126"/>
      <c r="S176" s="126"/>
      <c r="T176" s="128">
        <v>15</v>
      </c>
      <c r="U176" s="128">
        <f>E176+T176-2+2500</f>
        <v>2565</v>
      </c>
      <c r="V176" s="26" t="str">
        <f t="shared" si="23"/>
        <v>44</v>
      </c>
      <c r="W176" s="121">
        <f>COUNTIF($V$4:$V$286,V176)-1</f>
        <v>8</v>
      </c>
      <c r="X176" s="121"/>
      <c r="Y176" s="121"/>
      <c r="Z176" s="121"/>
      <c r="AA176" s="121"/>
    </row>
    <row r="177" spans="1:27" ht="18.75">
      <c r="A177" s="88"/>
      <c r="B177" s="121">
        <v>4460</v>
      </c>
      <c r="C177" s="121" t="s">
        <v>683</v>
      </c>
      <c r="D177" s="88" t="s">
        <v>941</v>
      </c>
      <c r="E177" s="121">
        <v>52</v>
      </c>
      <c r="F177" s="46" t="s">
        <v>942</v>
      </c>
      <c r="G177" s="26" t="s">
        <v>78</v>
      </c>
      <c r="H177" s="122">
        <v>300000</v>
      </c>
      <c r="I177" s="123"/>
      <c r="J177" s="130" t="str">
        <f>HYPERLINK("https://drive.google.com/open?id=0B2rLR4BADrBtUzJObnNPWk1tcGc","4460")</f>
        <v>4460</v>
      </c>
      <c r="K177" s="132" t="str">
        <f>HYPERLINK("https://drive.google.com/drive/folders/0BwN2QqBc2z4QfmlKYlJFeEl3MzFrVnpLMm5WVWlvMThwdkxFUEV3dzZ3S0d3eWJGVXNHeE0","4440")</f>
        <v>4440</v>
      </c>
      <c r="L177" s="125"/>
      <c r="M177" s="46"/>
      <c r="N177" s="126"/>
      <c r="O177" s="126"/>
      <c r="P177" s="126"/>
      <c r="Q177" s="126"/>
      <c r="R177" s="126"/>
      <c r="S177" s="126"/>
      <c r="T177" s="135">
        <v>15</v>
      </c>
      <c r="U177" s="135">
        <f>E177+T177-2+2500</f>
        <v>2565</v>
      </c>
      <c r="V177" s="26" t="str">
        <f t="shared" si="23"/>
        <v>44</v>
      </c>
      <c r="W177" s="121">
        <f>COUNTIF('52-62 (สำหรับ จก.ตรวจเยี่ยม)'!$V$4:$V$286,V177)-1</f>
        <v>8</v>
      </c>
      <c r="X177" s="121"/>
      <c r="Y177" s="121"/>
      <c r="Z177" s="121"/>
      <c r="AA177" s="121"/>
    </row>
    <row r="178" spans="1:27" ht="18.75">
      <c r="A178" s="88"/>
      <c r="B178" s="121">
        <v>4460</v>
      </c>
      <c r="C178" s="121" t="s">
        <v>683</v>
      </c>
      <c r="D178" s="88" t="s">
        <v>943</v>
      </c>
      <c r="E178" s="121">
        <v>62</v>
      </c>
      <c r="F178" s="46" t="s">
        <v>944</v>
      </c>
      <c r="G178" s="26" t="s">
        <v>78</v>
      </c>
      <c r="H178" s="122">
        <v>790000</v>
      </c>
      <c r="I178" s="123"/>
      <c r="J178" s="130" t="str">
        <f>HYPERLINK("https://drive.google.com/open?id=1E530HjiShObF2twy1mGVPG8YpAE9qT_Z","4460")</f>
        <v>4460</v>
      </c>
      <c r="K178" s="125"/>
      <c r="L178" s="125"/>
      <c r="M178" s="46"/>
      <c r="N178" s="126"/>
      <c r="O178" s="126"/>
      <c r="P178" s="126"/>
      <c r="Q178" s="126"/>
      <c r="R178" s="126"/>
      <c r="S178" s="126"/>
      <c r="T178" s="128"/>
      <c r="U178" s="128"/>
      <c r="V178" s="26"/>
      <c r="W178" s="121"/>
      <c r="X178" s="121"/>
      <c r="Y178" s="121"/>
      <c r="Z178" s="121"/>
      <c r="AA178" s="121"/>
    </row>
    <row r="179" spans="1:27" ht="18.75">
      <c r="A179" s="118"/>
      <c r="B179" s="118">
        <v>4500</v>
      </c>
      <c r="C179" s="117"/>
      <c r="D179" s="117" t="str">
        <f>"พัสดุ"&amp; VLOOKUP(V179,'เลขSpec.2 ตัวแรก'!$A$2:$B$100,2,FALSE)&amp; " จำนวน "&amp;W179&amp;" รายการ"</f>
        <v>พัสดุหมวด 45 บริภัณฑ์เครื่องห่อ บริภัณฑ์ทำความร้อนและบริภัณฑ์สุขาภิบาล จำนวน 2 รายการ</v>
      </c>
      <c r="E179" s="117"/>
      <c r="F179" s="118"/>
      <c r="G179" s="117"/>
      <c r="H179" s="117"/>
      <c r="I179" s="117"/>
      <c r="J179" s="117"/>
      <c r="K179" s="117"/>
      <c r="L179" s="119"/>
      <c r="M179" s="118"/>
      <c r="N179" s="119"/>
      <c r="O179" s="117"/>
      <c r="P179" s="117"/>
      <c r="Q179" s="117"/>
      <c r="R179" s="118"/>
      <c r="S179" s="117"/>
      <c r="T179" s="117"/>
      <c r="U179" s="117"/>
      <c r="V179" s="117" t="str">
        <f>LEFT(B179, SEARCH("",B179,2))</f>
        <v>45</v>
      </c>
      <c r="W179" s="117">
        <f>COUNTIF($V$2:$V$286,V179)-1</f>
        <v>2</v>
      </c>
      <c r="X179" s="119"/>
      <c r="Y179" s="24"/>
      <c r="Z179" s="24"/>
      <c r="AA179" s="24"/>
    </row>
    <row r="180" spans="1:27" ht="18.75">
      <c r="A180" s="88"/>
      <c r="B180" s="121">
        <v>4520</v>
      </c>
      <c r="C180" s="121" t="s">
        <v>157</v>
      </c>
      <c r="D180" s="88" t="s">
        <v>947</v>
      </c>
      <c r="E180" s="121">
        <v>52</v>
      </c>
      <c r="F180" s="46" t="s">
        <v>948</v>
      </c>
      <c r="G180" s="26" t="s">
        <v>78</v>
      </c>
      <c r="H180" s="122">
        <v>28000</v>
      </c>
      <c r="I180" s="123"/>
      <c r="J180" s="130" t="str">
        <f>HYPERLINK("https://drive.google.com/open?id=0B2rLR4BADrBtdmdZRHgtU2NJRUk","4520")</f>
        <v>4520</v>
      </c>
      <c r="K180" s="133" t="str">
        <f>HYPERLINK("https://drive.google.com/drive/folders/0BwQ57SNHxB3BWWJlNDMxbVlDaG8","4520")</f>
        <v>4520</v>
      </c>
      <c r="L180" s="134"/>
      <c r="M180" s="46"/>
      <c r="N180" s="126"/>
      <c r="O180" s="126"/>
      <c r="P180" s="126"/>
      <c r="Q180" s="126"/>
      <c r="R180" s="126"/>
      <c r="S180" s="126"/>
      <c r="T180" s="128">
        <v>15</v>
      </c>
      <c r="U180" s="128">
        <f>E180+T180-2+2500</f>
        <v>2565</v>
      </c>
      <c r="V180" s="129" t="str">
        <f>LEFT(B180, SEARCH("",B180,2))</f>
        <v>45</v>
      </c>
      <c r="W180" s="121">
        <f>COUNTIF('52-62 (สำหรับ จก.ตรวจเยี่ยม)'!$V$4:$V$286,V180)-1</f>
        <v>2</v>
      </c>
      <c r="X180" s="121"/>
      <c r="Y180" s="121"/>
      <c r="Z180" s="121"/>
      <c r="AA180" s="121"/>
    </row>
    <row r="181" spans="1:27" ht="18.75">
      <c r="A181" s="88"/>
      <c r="B181" s="121">
        <v>4520</v>
      </c>
      <c r="C181" s="121" t="s">
        <v>157</v>
      </c>
      <c r="D181" s="88" t="s">
        <v>949</v>
      </c>
      <c r="E181" s="121">
        <v>62</v>
      </c>
      <c r="F181" s="46" t="s">
        <v>950</v>
      </c>
      <c r="G181" s="26" t="s">
        <v>78</v>
      </c>
      <c r="H181" s="122">
        <v>25000</v>
      </c>
      <c r="I181" s="123"/>
      <c r="J181" s="131" t="str">
        <f>HYPERLINK("https://drive.google.com/file/d/1B4ft85WT7Xf5Ipu3lq78jpuOCYlNEH9W/view?usp=sharing","4520")</f>
        <v>4520</v>
      </c>
      <c r="K181" s="125"/>
      <c r="L181" s="125"/>
      <c r="M181" s="46"/>
      <c r="N181" s="126"/>
      <c r="O181" s="126"/>
      <c r="P181" s="126"/>
      <c r="Q181" s="126"/>
      <c r="R181" s="126"/>
      <c r="S181" s="126"/>
      <c r="T181" s="128"/>
      <c r="U181" s="128"/>
      <c r="V181" s="129"/>
      <c r="W181" s="121"/>
      <c r="X181" s="121"/>
      <c r="Y181" s="121"/>
      <c r="Z181" s="121"/>
      <c r="AA181" s="121"/>
    </row>
    <row r="182" spans="1:27" ht="18.75">
      <c r="A182" s="88"/>
      <c r="B182" s="121">
        <v>4520</v>
      </c>
      <c r="C182" s="121" t="s">
        <v>157</v>
      </c>
      <c r="D182" s="88" t="s">
        <v>951</v>
      </c>
      <c r="E182" s="121">
        <v>55</v>
      </c>
      <c r="F182" s="46" t="s">
        <v>952</v>
      </c>
      <c r="G182" s="26" t="s">
        <v>48</v>
      </c>
      <c r="H182" s="122">
        <v>8500</v>
      </c>
      <c r="I182" s="123"/>
      <c r="J182" s="130" t="str">
        <f>HYPERLINK("https://drive.google.com/open?id=0B2rLR4BADrBtbFN6VW9QQldTSEU","4520")</f>
        <v>4520</v>
      </c>
      <c r="K182" s="132" t="str">
        <f>HYPERLINK("https://drive.google.com/drive/folders/0BwN2QqBc2z4QfnJoMkFRMFdTOGxndDNRNFdpSnU4amJvVEJuUElfc2k0d1lObGQ3NXBvZHM","4520")</f>
        <v>4520</v>
      </c>
      <c r="L182" s="125"/>
      <c r="M182" s="46"/>
      <c r="N182" s="126"/>
      <c r="O182" s="126"/>
      <c r="P182" s="126"/>
      <c r="Q182" s="126"/>
      <c r="R182" s="126"/>
      <c r="S182" s="126"/>
      <c r="T182" s="128">
        <v>15</v>
      </c>
      <c r="U182" s="128">
        <f>E182+T182-2+2500</f>
        <v>2568</v>
      </c>
      <c r="V182" s="129" t="str">
        <f t="shared" ref="V182:V310" si="27">LEFT(B182, SEARCH("",B182,2))</f>
        <v>45</v>
      </c>
      <c r="W182" s="121">
        <f>COUNTIF('52-62 (สำหรับ จก.ตรวจเยี่ยม)'!$V$4:$V$286,V182)-1</f>
        <v>2</v>
      </c>
      <c r="X182" s="121"/>
      <c r="Y182" s="121"/>
      <c r="Z182" s="121"/>
      <c r="AA182" s="121"/>
    </row>
    <row r="183" spans="1:27" ht="18.75">
      <c r="A183" s="119"/>
      <c r="B183" s="118">
        <v>4600</v>
      </c>
      <c r="C183" s="119"/>
      <c r="D183" s="117" t="str">
        <f>"พัสดุ"&amp; VLOOKUP(V183,'เลขSpec.2 ตัวแรก'!$A$2:$B$100,2,FALSE)&amp; " จำนวน "&amp;W183&amp;" รายการ"</f>
        <v>พัสดุหมวด 46 บริภัณฑ์ทำให้น้ำบริสุทธิ์ บริภัณฑ์กำจัดสิ่งโสโครก จำนวน 6 รายการ</v>
      </c>
      <c r="E183" s="117"/>
      <c r="F183" s="117"/>
      <c r="G183" s="118"/>
      <c r="H183" s="117"/>
      <c r="I183" s="117"/>
      <c r="J183" s="117"/>
      <c r="K183" s="117"/>
      <c r="L183" s="117"/>
      <c r="M183" s="119"/>
      <c r="N183" s="119"/>
      <c r="O183" s="119"/>
      <c r="P183" s="117"/>
      <c r="Q183" s="117"/>
      <c r="R183" s="117"/>
      <c r="S183" s="118"/>
      <c r="T183" s="117"/>
      <c r="U183" s="117"/>
      <c r="V183" s="117" t="str">
        <f t="shared" si="27"/>
        <v>46</v>
      </c>
      <c r="W183" s="117">
        <f>COUNTIF($V$2:$V$286,V183)-1</f>
        <v>6</v>
      </c>
      <c r="X183" s="117"/>
      <c r="Y183" s="24"/>
      <c r="Z183" s="24"/>
      <c r="AA183" s="24"/>
    </row>
    <row r="184" spans="1:27" ht="18.75">
      <c r="A184" s="88"/>
      <c r="B184" s="121">
        <v>4610</v>
      </c>
      <c r="C184" s="121" t="s">
        <v>256</v>
      </c>
      <c r="D184" s="88" t="s">
        <v>954</v>
      </c>
      <c r="E184" s="121">
        <v>58</v>
      </c>
      <c r="F184" s="46" t="s">
        <v>955</v>
      </c>
      <c r="G184" s="26" t="s">
        <v>78</v>
      </c>
      <c r="H184" s="122">
        <v>22000</v>
      </c>
      <c r="I184" s="123"/>
      <c r="J184" s="130" t="str">
        <f>HYPERLINK("https://drive.google.com/open?id=0B2vBTVEfSzItTkZkYjRrVDVvOWs","4610")</f>
        <v>4610</v>
      </c>
      <c r="K184" s="132" t="str">
        <f>HYPERLINK("https://drive.google.com/drive/folders/0BwN2QqBc2z4QfldxYllLT2pwYnFkRVFyNF9FdFhjTDVXTjAyMzl1S0kyNlB2dmJBb1YyUW8","4610")</f>
        <v>4610</v>
      </c>
      <c r="L184" s="125"/>
      <c r="M184" s="46"/>
      <c r="N184" s="126"/>
      <c r="O184" s="126"/>
      <c r="P184" s="126"/>
      <c r="Q184" s="126"/>
      <c r="R184" s="126"/>
      <c r="S184" s="126"/>
      <c r="T184" s="135">
        <v>15</v>
      </c>
      <c r="U184" s="135">
        <f t="shared" ref="U184:U189" si="28">E184+T184-2+2500</f>
        <v>2571</v>
      </c>
      <c r="V184" s="129" t="str">
        <f t="shared" si="27"/>
        <v>46</v>
      </c>
      <c r="W184" s="121">
        <f>COUNTIF($V$4:$V$286,V184)-1</f>
        <v>6</v>
      </c>
      <c r="X184" s="121"/>
      <c r="Y184" s="121"/>
      <c r="Z184" s="121"/>
      <c r="AA184" s="121"/>
    </row>
    <row r="185" spans="1:27" ht="18.75">
      <c r="A185" s="88"/>
      <c r="B185" s="121">
        <v>4610</v>
      </c>
      <c r="C185" s="121" t="s">
        <v>256</v>
      </c>
      <c r="D185" s="88" t="s">
        <v>956</v>
      </c>
      <c r="E185" s="121">
        <v>54</v>
      </c>
      <c r="F185" s="46" t="s">
        <v>957</v>
      </c>
      <c r="G185" s="26" t="s">
        <v>78</v>
      </c>
      <c r="H185" s="122">
        <v>24000</v>
      </c>
      <c r="I185" s="123"/>
      <c r="J185" s="130" t="str">
        <f>HYPERLINK("https://drive.google.com/open?id=0B2rLR4BADrBtUDRxcEx1QW9xd2M","4610")</f>
        <v>4610</v>
      </c>
      <c r="K185" s="133" t="str">
        <f>HYPERLINK("https://drive.google.com/drive/folders/0BwQ57SNHxB3BTU9DYUl2X1ZkbU0","4610")</f>
        <v>4610</v>
      </c>
      <c r="L185" s="134"/>
      <c r="M185" s="46"/>
      <c r="N185" s="126"/>
      <c r="O185" s="126"/>
      <c r="P185" s="126"/>
      <c r="Q185" s="126"/>
      <c r="R185" s="126"/>
      <c r="S185" s="126"/>
      <c r="T185" s="128">
        <v>15</v>
      </c>
      <c r="U185" s="128">
        <f t="shared" si="28"/>
        <v>2567</v>
      </c>
      <c r="V185" s="129" t="str">
        <f t="shared" si="27"/>
        <v>46</v>
      </c>
      <c r="W185" s="121">
        <f>COUNTIF($V$4:$V$286,V185)-1</f>
        <v>6</v>
      </c>
      <c r="X185" s="121"/>
      <c r="Y185" s="121"/>
      <c r="Z185" s="121"/>
      <c r="AA185" s="121"/>
    </row>
    <row r="186" spans="1:27" ht="18.75">
      <c r="A186" s="88"/>
      <c r="B186" s="121">
        <v>4630</v>
      </c>
      <c r="C186" s="121" t="s">
        <v>256</v>
      </c>
      <c r="D186" s="88" t="s">
        <v>958</v>
      </c>
      <c r="E186" s="121">
        <v>55</v>
      </c>
      <c r="F186" s="46" t="s">
        <v>959</v>
      </c>
      <c r="G186" s="26" t="s">
        <v>78</v>
      </c>
      <c r="H186" s="122">
        <v>37000</v>
      </c>
      <c r="I186" s="123"/>
      <c r="J186" s="130" t="str">
        <f>HYPERLINK("https://drive.google.com/open?id=0B2rLR4BADrBtRnF4MGctS3hMeVU","4630")</f>
        <v>4630</v>
      </c>
      <c r="K186" s="132" t="str">
        <f>HYPERLINK("https://drive.google.com/drive/folders/0BwQ57SNHxB3BY3VvV0ZVcEQ3Z0k","4630")</f>
        <v>4630</v>
      </c>
      <c r="L186" s="125"/>
      <c r="M186" s="46"/>
      <c r="N186" s="126"/>
      <c r="O186" s="126"/>
      <c r="P186" s="126"/>
      <c r="Q186" s="126"/>
      <c r="R186" s="126"/>
      <c r="S186" s="126"/>
      <c r="T186" s="128">
        <v>15</v>
      </c>
      <c r="U186" s="128">
        <f t="shared" si="28"/>
        <v>2568</v>
      </c>
      <c r="V186" s="129" t="str">
        <f t="shared" si="27"/>
        <v>46</v>
      </c>
      <c r="W186" s="121">
        <f>COUNTIF($V$4:$V$286,V186)-1</f>
        <v>6</v>
      </c>
      <c r="X186" s="121"/>
      <c r="Y186" s="121"/>
      <c r="Z186" s="121"/>
      <c r="AA186" s="121"/>
    </row>
    <row r="187" spans="1:27" ht="18.75">
      <c r="A187" s="88"/>
      <c r="B187" s="121">
        <v>4630</v>
      </c>
      <c r="C187" s="121" t="s">
        <v>157</v>
      </c>
      <c r="D187" s="88" t="s">
        <v>960</v>
      </c>
      <c r="E187" s="121">
        <v>54</v>
      </c>
      <c r="F187" s="46" t="s">
        <v>961</v>
      </c>
      <c r="G187" s="26" t="s">
        <v>78</v>
      </c>
      <c r="H187" s="122">
        <v>25000</v>
      </c>
      <c r="I187" s="123"/>
      <c r="J187" s="130" t="str">
        <f>HYPERLINK("https://drive.google.com/open?id=0B2rLR4BADrBtTFdYeDdQeFNSQnc","4630")</f>
        <v>4630</v>
      </c>
      <c r="K187" s="132" t="str">
        <f>HYPERLINK("https://drive.google.com/drive/folders/0BwQ57SNHxB3BY3VvV0ZVcEQ3Z0k","4630")</f>
        <v>4630</v>
      </c>
      <c r="L187" s="125"/>
      <c r="M187" s="46"/>
      <c r="N187" s="126"/>
      <c r="O187" s="126"/>
      <c r="P187" s="126"/>
      <c r="Q187" s="126"/>
      <c r="R187" s="126"/>
      <c r="S187" s="126"/>
      <c r="T187" s="128">
        <v>15</v>
      </c>
      <c r="U187" s="128">
        <f t="shared" si="28"/>
        <v>2567</v>
      </c>
      <c r="V187" s="129" t="str">
        <f t="shared" si="27"/>
        <v>46</v>
      </c>
      <c r="W187" s="121">
        <f>COUNTIF('52-62 (สำหรับ จก.ตรวจเยี่ยม)'!$V$4:$V$286,V187)-1</f>
        <v>6</v>
      </c>
      <c r="X187" s="121"/>
      <c r="Y187" s="121"/>
      <c r="Z187" s="121"/>
      <c r="AA187" s="121"/>
    </row>
    <row r="188" spans="1:27" ht="18.75">
      <c r="A188" s="88"/>
      <c r="B188" s="121">
        <v>4630</v>
      </c>
      <c r="C188" s="121" t="s">
        <v>256</v>
      </c>
      <c r="D188" s="88" t="s">
        <v>962</v>
      </c>
      <c r="E188" s="121">
        <v>55</v>
      </c>
      <c r="F188" s="46" t="s">
        <v>963</v>
      </c>
      <c r="G188" s="26" t="s">
        <v>78</v>
      </c>
      <c r="H188" s="122">
        <v>250000</v>
      </c>
      <c r="I188" s="123"/>
      <c r="J188" s="130" t="str">
        <f>HYPERLINK("https://drive.google.com/open?id=0B2vBTVEfSzItOEFtbzRrVnp4V3c","4630")</f>
        <v>4630</v>
      </c>
      <c r="K188" s="132" t="str">
        <f>HYPERLINK("https://drive.google.com/drive/folders/0BwQ57SNHxB3BY3VvV0ZVcEQ3Z0k","4630")</f>
        <v>4630</v>
      </c>
      <c r="L188" s="125"/>
      <c r="M188" s="46"/>
      <c r="N188" s="126"/>
      <c r="O188" s="126"/>
      <c r="P188" s="126"/>
      <c r="Q188" s="126"/>
      <c r="R188" s="126"/>
      <c r="S188" s="126"/>
      <c r="T188" s="128">
        <v>15</v>
      </c>
      <c r="U188" s="128">
        <f t="shared" si="28"/>
        <v>2568</v>
      </c>
      <c r="V188" s="129" t="str">
        <f t="shared" si="27"/>
        <v>46</v>
      </c>
      <c r="W188" s="121">
        <f>COUNTIF('52-62 (สำหรับ จก.ตรวจเยี่ยม)'!$V$4:$V$286,V188)-1</f>
        <v>6</v>
      </c>
      <c r="X188" s="121"/>
      <c r="Y188" s="121"/>
      <c r="Z188" s="121"/>
      <c r="AA188" s="121"/>
    </row>
    <row r="189" spans="1:27" ht="18.75">
      <c r="A189" s="88"/>
      <c r="B189" s="121">
        <v>4630</v>
      </c>
      <c r="C189" s="121" t="s">
        <v>63</v>
      </c>
      <c r="D189" s="88" t="s">
        <v>964</v>
      </c>
      <c r="E189" s="121">
        <v>56</v>
      </c>
      <c r="F189" s="46" t="s">
        <v>965</v>
      </c>
      <c r="G189" s="26" t="s">
        <v>28</v>
      </c>
      <c r="H189" s="122"/>
      <c r="I189" s="123"/>
      <c r="J189" s="130" t="str">
        <f>HYPERLINK("https://drive.google.com/open?id=0B2rLR4BADrBtcWQ3dEdNMnpLbzg","4630")</f>
        <v>4630</v>
      </c>
      <c r="K189" s="133" t="str">
        <f>HYPERLINK("https://drive.google.com/drive/folders/0BwQ57SNHxB3Ba1B3bG9qYXRwdFU","4630")</f>
        <v>4630</v>
      </c>
      <c r="L189" s="134"/>
      <c r="M189" s="46"/>
      <c r="N189" s="126"/>
      <c r="O189" s="126"/>
      <c r="P189" s="126"/>
      <c r="Q189" s="126"/>
      <c r="R189" s="126"/>
      <c r="S189" s="126"/>
      <c r="T189" s="128">
        <v>15</v>
      </c>
      <c r="U189" s="128">
        <f t="shared" si="28"/>
        <v>2569</v>
      </c>
      <c r="V189" s="129" t="str">
        <f t="shared" si="27"/>
        <v>46</v>
      </c>
      <c r="W189" s="121">
        <f>COUNTIF($V$4:$V$286,V189)-1</f>
        <v>6</v>
      </c>
      <c r="X189" s="121"/>
      <c r="Y189" s="121"/>
      <c r="Z189" s="121"/>
      <c r="AA189" s="121"/>
    </row>
    <row r="190" spans="1:27" ht="18.75">
      <c r="A190" s="119"/>
      <c r="B190" s="118">
        <v>4900</v>
      </c>
      <c r="C190" s="119"/>
      <c r="D190" s="117" t="str">
        <f>"พัสดุ"&amp; VLOOKUP(V190,'เลขSpec.2 ตัวแรก'!$A$2:$B$100,2,FALSE)&amp; " จำนวน "&amp;W190&amp;" รายการ"</f>
        <v>พัสดุหมวด 49 บริภัณฑ์โรงงานซ่อมบำรุงและโรงซ่อม จำนวน 3 รายการ</v>
      </c>
      <c r="E190" s="117"/>
      <c r="F190" s="117"/>
      <c r="G190" s="118"/>
      <c r="H190" s="117"/>
      <c r="I190" s="117"/>
      <c r="J190" s="117"/>
      <c r="K190" s="117"/>
      <c r="L190" s="117"/>
      <c r="M190" s="119"/>
      <c r="N190" s="119"/>
      <c r="O190" s="119"/>
      <c r="P190" s="117"/>
      <c r="Q190" s="117"/>
      <c r="R190" s="117"/>
      <c r="S190" s="118"/>
      <c r="T190" s="117"/>
      <c r="U190" s="117"/>
      <c r="V190" s="117" t="str">
        <f t="shared" si="27"/>
        <v>49</v>
      </c>
      <c r="W190" s="117">
        <f>COUNTIF($V$2:$V$286,V190)-1</f>
        <v>3</v>
      </c>
      <c r="X190" s="117"/>
      <c r="Y190" s="24"/>
      <c r="Z190" s="24"/>
      <c r="AA190" s="24"/>
    </row>
    <row r="191" spans="1:27" ht="18.75">
      <c r="A191" s="88"/>
      <c r="B191" s="121">
        <v>4910</v>
      </c>
      <c r="C191" s="121" t="s">
        <v>157</v>
      </c>
      <c r="D191" s="88" t="s">
        <v>966</v>
      </c>
      <c r="E191" s="121">
        <v>53</v>
      </c>
      <c r="F191" s="46" t="s">
        <v>967</v>
      </c>
      <c r="G191" s="26" t="s">
        <v>78</v>
      </c>
      <c r="H191" s="122">
        <v>165000</v>
      </c>
      <c r="I191" s="123"/>
      <c r="J191" s="130" t="str">
        <f>HYPERLINK("https://drive.google.com/open?id=0B2rLR4BADrBtdkZvUHJqT3BxT2s","4910")</f>
        <v>4910</v>
      </c>
      <c r="K191" s="125"/>
      <c r="L191" s="125"/>
      <c r="M191" s="46"/>
      <c r="N191" s="126"/>
      <c r="O191" s="126"/>
      <c r="P191" s="126"/>
      <c r="Q191" s="126"/>
      <c r="R191" s="126"/>
      <c r="S191" s="126"/>
      <c r="T191" s="128">
        <v>15</v>
      </c>
      <c r="U191" s="128">
        <f>E191+T191-2+2500</f>
        <v>2566</v>
      </c>
      <c r="V191" s="129" t="str">
        <f t="shared" si="27"/>
        <v>49</v>
      </c>
      <c r="W191" s="121">
        <f>COUNTIF('52-62 (สำหรับ จก.ตรวจเยี่ยม)'!$V$4:$V$286,V191)-1</f>
        <v>3</v>
      </c>
      <c r="X191" s="121"/>
      <c r="Y191" s="121"/>
      <c r="Z191" s="121"/>
      <c r="AA191" s="121"/>
    </row>
    <row r="192" spans="1:27" ht="18.75">
      <c r="A192" s="88"/>
      <c r="B192" s="121">
        <v>4930</v>
      </c>
      <c r="C192" s="121" t="s">
        <v>157</v>
      </c>
      <c r="D192" s="88" t="s">
        <v>968</v>
      </c>
      <c r="E192" s="121">
        <v>53</v>
      </c>
      <c r="F192" s="46" t="s">
        <v>969</v>
      </c>
      <c r="G192" s="26" t="s">
        <v>78</v>
      </c>
      <c r="H192" s="122">
        <v>27000</v>
      </c>
      <c r="I192" s="123"/>
      <c r="J192" s="130" t="str">
        <f>HYPERLINK("https://drive.google.com/open?id=0B2rLR4BADrBtY3c5MGlDSlY0Yms","4930")</f>
        <v>4930</v>
      </c>
      <c r="K192" s="132" t="str">
        <f>HYPERLINK("https://drive.google.com/drive/folders/0BwQ57SNHxB3BbE5nR0JKR09SX0U","4930")</f>
        <v>4930</v>
      </c>
      <c r="L192" s="125"/>
      <c r="M192" s="46"/>
      <c r="N192" s="126"/>
      <c r="O192" s="126"/>
      <c r="P192" s="126"/>
      <c r="Q192" s="126"/>
      <c r="R192" s="126"/>
      <c r="S192" s="126"/>
      <c r="T192" s="128">
        <v>15</v>
      </c>
      <c r="U192" s="128">
        <f>E192+T192-2+2500</f>
        <v>2566</v>
      </c>
      <c r="V192" s="129" t="str">
        <f t="shared" si="27"/>
        <v>49</v>
      </c>
      <c r="W192" s="121">
        <f>COUNTIF('52-62 (สำหรับ จก.ตรวจเยี่ยม)'!$V$4:$V$286,V192)-1</f>
        <v>3</v>
      </c>
      <c r="X192" s="121"/>
      <c r="Y192" s="121"/>
      <c r="Z192" s="121"/>
      <c r="AA192" s="121"/>
    </row>
    <row r="193" spans="1:27" ht="18.75">
      <c r="A193" s="88"/>
      <c r="B193" s="121">
        <v>4930</v>
      </c>
      <c r="C193" s="121" t="s">
        <v>157</v>
      </c>
      <c r="D193" s="88" t="s">
        <v>970</v>
      </c>
      <c r="E193" s="121">
        <v>53</v>
      </c>
      <c r="F193" s="46" t="s">
        <v>971</v>
      </c>
      <c r="G193" s="26" t="s">
        <v>78</v>
      </c>
      <c r="H193" s="122">
        <v>25000</v>
      </c>
      <c r="I193" s="123"/>
      <c r="J193" s="130" t="str">
        <f>HYPERLINK("https://drive.google.com/open?id=0B2rLR4BADrBtT2hWemF3Tl9IYW8","4930")</f>
        <v>4930</v>
      </c>
      <c r="K193" s="132" t="str">
        <f>HYPERLINK("https://drive.google.com/drive/folders/0BwQ57SNHxB3BbE5nR0JKR09SX0U","4930")</f>
        <v>4930</v>
      </c>
      <c r="L193" s="125"/>
      <c r="M193" s="46"/>
      <c r="N193" s="126"/>
      <c r="O193" s="126"/>
      <c r="P193" s="126"/>
      <c r="Q193" s="126"/>
      <c r="R193" s="126"/>
      <c r="S193" s="126"/>
      <c r="T193" s="128">
        <v>15</v>
      </c>
      <c r="U193" s="128">
        <f>E193+T193-2+2500</f>
        <v>2566</v>
      </c>
      <c r="V193" s="129" t="str">
        <f t="shared" si="27"/>
        <v>49</v>
      </c>
      <c r="W193" s="121">
        <f>COUNTIF('52-62 (สำหรับ จก.ตรวจเยี่ยม)'!$V$4:$V$286,V193)-1</f>
        <v>3</v>
      </c>
      <c r="X193" s="121"/>
      <c r="Y193" s="121"/>
      <c r="Z193" s="121"/>
      <c r="AA193" s="121"/>
    </row>
    <row r="194" spans="1:27" ht="18.75">
      <c r="A194" s="119"/>
      <c r="B194" s="118">
        <v>5100</v>
      </c>
      <c r="C194" s="117"/>
      <c r="D194" s="117" t="str">
        <f>"พัสดุ"&amp; VLOOKUP(V194,'เลขSpec.2 ตัวแรก'!$A$2:$B$100,2,FALSE)&amp; " จำนวน "&amp;W194&amp;" รายการ"</f>
        <v>พัสดุหมวด 51 เครื่องมือชนิดถือ จำนวน 26 รายการ</v>
      </c>
      <c r="E194" s="117"/>
      <c r="F194" s="118"/>
      <c r="G194" s="117" t="s">
        <v>78</v>
      </c>
      <c r="H194" s="117" t="s">
        <v>78</v>
      </c>
      <c r="I194" s="117" t="s">
        <v>78</v>
      </c>
      <c r="J194" s="117"/>
      <c r="K194" s="117"/>
      <c r="L194" s="119"/>
      <c r="M194" s="119"/>
      <c r="N194" s="119"/>
      <c r="O194" s="117"/>
      <c r="P194" s="117"/>
      <c r="Q194" s="117"/>
      <c r="R194" s="118"/>
      <c r="S194" s="117"/>
      <c r="T194" s="117"/>
      <c r="U194" s="117"/>
      <c r="V194" s="117" t="str">
        <f t="shared" si="27"/>
        <v>51</v>
      </c>
      <c r="W194" s="117">
        <f>COUNTIF($V$2:$V$286,V194)-1</f>
        <v>26</v>
      </c>
      <c r="X194" s="119"/>
      <c r="Y194" s="24"/>
      <c r="Z194" s="24"/>
      <c r="AA194" s="24"/>
    </row>
    <row r="195" spans="1:27" ht="18.75">
      <c r="A195" s="88"/>
      <c r="B195" s="121">
        <v>5110</v>
      </c>
      <c r="C195" s="121" t="s">
        <v>37</v>
      </c>
      <c r="D195" s="88" t="s">
        <v>972</v>
      </c>
      <c r="E195" s="121">
        <v>53</v>
      </c>
      <c r="F195" s="46" t="s">
        <v>973</v>
      </c>
      <c r="G195" s="26" t="s">
        <v>78</v>
      </c>
      <c r="H195" s="122">
        <v>80000</v>
      </c>
      <c r="I195" s="123"/>
      <c r="J195" s="130" t="str">
        <f>HYPERLINK("https://drive.google.com/open?id=0B2vBTVEfSzItTkxxWkNkU1ZCMTA","5110")</f>
        <v>5110</v>
      </c>
      <c r="K195" s="132" t="str">
        <f>HYPERLINK("https://drive.google.com/drive/folders/0BwQ57SNHxB3BVjVRSG53UlBjWjA","5110")</f>
        <v>5110</v>
      </c>
      <c r="L195" s="125"/>
      <c r="M195" s="46"/>
      <c r="N195" s="126"/>
      <c r="O195" s="126"/>
      <c r="P195" s="126"/>
      <c r="Q195" s="126"/>
      <c r="R195" s="126"/>
      <c r="S195" s="126"/>
      <c r="T195" s="128">
        <v>10</v>
      </c>
      <c r="U195" s="128">
        <f t="shared" ref="U195:U204" si="29">E195+T195-2+2500</f>
        <v>2561</v>
      </c>
      <c r="V195" s="129" t="str">
        <f t="shared" si="27"/>
        <v>51</v>
      </c>
      <c r="W195" s="121">
        <f>COUNTIF('52-62 (สำหรับ จก.ตรวจเยี่ยม)'!$V$4:$V$286,V195)-1</f>
        <v>26</v>
      </c>
      <c r="X195" s="121"/>
      <c r="Y195" s="121"/>
      <c r="Z195" s="121"/>
      <c r="AA195" s="121"/>
    </row>
    <row r="196" spans="1:27" ht="18.75">
      <c r="A196" s="88"/>
      <c r="B196" s="121">
        <v>5120</v>
      </c>
      <c r="C196" s="121" t="s">
        <v>157</v>
      </c>
      <c r="D196" s="88" t="s">
        <v>974</v>
      </c>
      <c r="E196" s="121">
        <v>52</v>
      </c>
      <c r="F196" s="46" t="s">
        <v>975</v>
      </c>
      <c r="G196" s="26" t="s">
        <v>976</v>
      </c>
      <c r="H196" s="122">
        <v>15000</v>
      </c>
      <c r="I196" s="123"/>
      <c r="J196" s="130" t="str">
        <f>HYPERLINK("https://drive.google.com/open?id=0B2rLR4BADrBtcWVwdmdiajFZY00","5120")</f>
        <v>5120</v>
      </c>
      <c r="K196" s="132" t="str">
        <f t="shared" ref="K196:K203" si="30">HYPERLINK("https://drive.google.com/drive/folders/0BwQ57SNHxB3BZEl4TXJrMnlaR1E","5120")</f>
        <v>5120</v>
      </c>
      <c r="L196" s="125"/>
      <c r="M196" s="46"/>
      <c r="N196" s="126"/>
      <c r="O196" s="126"/>
      <c r="P196" s="126"/>
      <c r="Q196" s="126"/>
      <c r="R196" s="126"/>
      <c r="S196" s="126"/>
      <c r="T196" s="128">
        <v>10</v>
      </c>
      <c r="U196" s="128">
        <f t="shared" si="29"/>
        <v>2560</v>
      </c>
      <c r="V196" s="129" t="str">
        <f t="shared" si="27"/>
        <v>51</v>
      </c>
      <c r="W196" s="121">
        <f>COUNTIF('52-62 (สำหรับ จก.ตรวจเยี่ยม)'!$V$4:$V$286,V196)-1</f>
        <v>26</v>
      </c>
      <c r="X196" s="121"/>
      <c r="Y196" s="121"/>
      <c r="Z196" s="121"/>
      <c r="AA196" s="121"/>
    </row>
    <row r="197" spans="1:27" ht="18.75">
      <c r="A197" s="88"/>
      <c r="B197" s="121">
        <v>5120</v>
      </c>
      <c r="C197" s="121" t="s">
        <v>37</v>
      </c>
      <c r="D197" s="88" t="s">
        <v>977</v>
      </c>
      <c r="E197" s="121">
        <v>55</v>
      </c>
      <c r="F197" s="46" t="s">
        <v>978</v>
      </c>
      <c r="G197" s="26" t="s">
        <v>78</v>
      </c>
      <c r="H197" s="122"/>
      <c r="I197" s="123"/>
      <c r="J197" s="130" t="str">
        <f>HYPERLINK("https://drive.google.com/open?id=0B2rLR4BADrBtZHdUTGx0cEdLeEk","5120")</f>
        <v>5120</v>
      </c>
      <c r="K197" s="132" t="str">
        <f t="shared" si="30"/>
        <v>5120</v>
      </c>
      <c r="L197" s="125"/>
      <c r="M197" s="150"/>
      <c r="N197" s="126"/>
      <c r="O197" s="126"/>
      <c r="P197" s="126"/>
      <c r="Q197" s="126"/>
      <c r="R197" s="126"/>
      <c r="S197" s="126"/>
      <c r="T197" s="128">
        <v>10</v>
      </c>
      <c r="U197" s="128">
        <f t="shared" si="29"/>
        <v>2563</v>
      </c>
      <c r="V197" s="129" t="str">
        <f t="shared" si="27"/>
        <v>51</v>
      </c>
      <c r="W197" s="121">
        <f>COUNTIF('52-62 (สำหรับ จก.ตรวจเยี่ยม)'!$V$4:$V$286,V197)-1</f>
        <v>26</v>
      </c>
      <c r="X197" s="121"/>
      <c r="Y197" s="121"/>
      <c r="Z197" s="121"/>
      <c r="AA197" s="121"/>
    </row>
    <row r="198" spans="1:27" ht="18.75">
      <c r="A198" s="88"/>
      <c r="B198" s="121">
        <v>5120</v>
      </c>
      <c r="C198" s="121" t="s">
        <v>157</v>
      </c>
      <c r="D198" s="88" t="s">
        <v>979</v>
      </c>
      <c r="E198" s="121">
        <v>52</v>
      </c>
      <c r="F198" s="46" t="s">
        <v>980</v>
      </c>
      <c r="G198" s="26" t="s">
        <v>48</v>
      </c>
      <c r="H198" s="122">
        <v>6500</v>
      </c>
      <c r="I198" s="123"/>
      <c r="J198" s="130" t="str">
        <f>HYPERLINK("https://drive.google.com/open?id=0B2rLR4BADrBteFN0MXZEQ0N4a1U","5120")</f>
        <v>5120</v>
      </c>
      <c r="K198" s="132" t="str">
        <f t="shared" si="30"/>
        <v>5120</v>
      </c>
      <c r="L198" s="125"/>
      <c r="M198" s="46"/>
      <c r="N198" s="126"/>
      <c r="O198" s="126"/>
      <c r="P198" s="126"/>
      <c r="Q198" s="126"/>
      <c r="R198" s="126"/>
      <c r="S198" s="126"/>
      <c r="T198" s="128">
        <v>10</v>
      </c>
      <c r="U198" s="128">
        <f t="shared" si="29"/>
        <v>2560</v>
      </c>
      <c r="V198" s="129" t="str">
        <f t="shared" si="27"/>
        <v>51</v>
      </c>
      <c r="W198" s="121">
        <f t="shared" ref="W198:W209" si="31">COUNTIF($V$4:$V$286,V198)-1</f>
        <v>26</v>
      </c>
      <c r="X198" s="121"/>
      <c r="Y198" s="121"/>
      <c r="Z198" s="121"/>
      <c r="AA198" s="121"/>
    </row>
    <row r="199" spans="1:27" ht="18.75">
      <c r="A199" s="88"/>
      <c r="B199" s="121">
        <v>5120</v>
      </c>
      <c r="C199" s="121" t="s">
        <v>157</v>
      </c>
      <c r="D199" s="88" t="s">
        <v>981</v>
      </c>
      <c r="E199" s="121">
        <v>54</v>
      </c>
      <c r="F199" s="46" t="s">
        <v>982</v>
      </c>
      <c r="G199" s="26" t="s">
        <v>48</v>
      </c>
      <c r="H199" s="122">
        <v>7500</v>
      </c>
      <c r="I199" s="123"/>
      <c r="J199" s="130" t="str">
        <f>HYPERLINK("https://drive.google.com/open?id=0B2rLR4BADrBtcFZyQlFSc2ZORjg","5120")</f>
        <v>5120</v>
      </c>
      <c r="K199" s="132" t="str">
        <f t="shared" si="30"/>
        <v>5120</v>
      </c>
      <c r="L199" s="125"/>
      <c r="M199" s="93"/>
      <c r="N199" s="126"/>
      <c r="O199" s="126"/>
      <c r="P199" s="126"/>
      <c r="Q199" s="126"/>
      <c r="R199" s="126"/>
      <c r="S199" s="126"/>
      <c r="T199" s="128">
        <v>10</v>
      </c>
      <c r="U199" s="128">
        <f t="shared" si="29"/>
        <v>2562</v>
      </c>
      <c r="V199" s="129" t="str">
        <f t="shared" si="27"/>
        <v>51</v>
      </c>
      <c r="W199" s="121">
        <f t="shared" si="31"/>
        <v>26</v>
      </c>
      <c r="X199" s="121"/>
      <c r="Y199" s="121"/>
      <c r="Z199" s="121"/>
      <c r="AA199" s="121"/>
    </row>
    <row r="200" spans="1:27" ht="18.75">
      <c r="A200" s="88"/>
      <c r="B200" s="121">
        <v>5120</v>
      </c>
      <c r="C200" s="121" t="s">
        <v>157</v>
      </c>
      <c r="D200" s="88" t="s">
        <v>983</v>
      </c>
      <c r="E200" s="121">
        <v>53</v>
      </c>
      <c r="F200" s="46" t="s">
        <v>984</v>
      </c>
      <c r="G200" s="26" t="s">
        <v>48</v>
      </c>
      <c r="H200" s="122">
        <v>12500</v>
      </c>
      <c r="I200" s="123"/>
      <c r="J200" s="130" t="str">
        <f>HYPERLINK("https://drive.google.com/open?id=0B2vBTVEfSzItX1BoaXdpOU9Na0E","5120")</f>
        <v>5120</v>
      </c>
      <c r="K200" s="132" t="str">
        <f t="shared" si="30"/>
        <v>5120</v>
      </c>
      <c r="L200" s="125"/>
      <c r="M200" s="46"/>
      <c r="N200" s="126"/>
      <c r="O200" s="126"/>
      <c r="P200" s="126"/>
      <c r="Q200" s="126"/>
      <c r="R200" s="126"/>
      <c r="S200" s="126"/>
      <c r="T200" s="128">
        <v>10</v>
      </c>
      <c r="U200" s="128">
        <f t="shared" si="29"/>
        <v>2561</v>
      </c>
      <c r="V200" s="129" t="str">
        <f t="shared" si="27"/>
        <v>51</v>
      </c>
      <c r="W200" s="121">
        <f t="shared" si="31"/>
        <v>26</v>
      </c>
      <c r="X200" s="121"/>
      <c r="Y200" s="121"/>
      <c r="Z200" s="121"/>
      <c r="AA200" s="121"/>
    </row>
    <row r="201" spans="1:27" ht="18.75">
      <c r="A201" s="88"/>
      <c r="B201" s="121">
        <v>5120</v>
      </c>
      <c r="C201" s="121" t="s">
        <v>157</v>
      </c>
      <c r="D201" s="88" t="s">
        <v>985</v>
      </c>
      <c r="E201" s="121">
        <v>54</v>
      </c>
      <c r="F201" s="46" t="s">
        <v>986</v>
      </c>
      <c r="G201" s="26" t="s">
        <v>48</v>
      </c>
      <c r="H201" s="122">
        <v>15000</v>
      </c>
      <c r="I201" s="123"/>
      <c r="J201" s="130" t="str">
        <f>HYPERLINK("https://drive.google.com/open?id=0B2rLR4BADrBtdVAyZmUtTVNRaVk","5120")</f>
        <v>5120</v>
      </c>
      <c r="K201" s="132" t="str">
        <f t="shared" si="30"/>
        <v>5120</v>
      </c>
      <c r="L201" s="125"/>
      <c r="M201" s="46"/>
      <c r="N201" s="126"/>
      <c r="O201" s="126"/>
      <c r="P201" s="126"/>
      <c r="Q201" s="126"/>
      <c r="R201" s="126"/>
      <c r="S201" s="126"/>
      <c r="T201" s="128">
        <v>10</v>
      </c>
      <c r="U201" s="128">
        <f t="shared" si="29"/>
        <v>2562</v>
      </c>
      <c r="V201" s="129" t="str">
        <f t="shared" si="27"/>
        <v>51</v>
      </c>
      <c r="W201" s="121">
        <f t="shared" si="31"/>
        <v>26</v>
      </c>
      <c r="X201" s="121"/>
      <c r="Y201" s="121"/>
      <c r="Z201" s="121"/>
      <c r="AA201" s="121"/>
    </row>
    <row r="202" spans="1:27" ht="18.75">
      <c r="A202" s="88"/>
      <c r="B202" s="121">
        <v>5120</v>
      </c>
      <c r="C202" s="121" t="s">
        <v>157</v>
      </c>
      <c r="D202" s="88" t="s">
        <v>987</v>
      </c>
      <c r="E202" s="121">
        <v>54</v>
      </c>
      <c r="F202" s="46" t="s">
        <v>989</v>
      </c>
      <c r="G202" s="26" t="s">
        <v>48</v>
      </c>
      <c r="H202" s="122">
        <v>65000</v>
      </c>
      <c r="I202" s="123"/>
      <c r="J202" s="130" t="str">
        <f>HYPERLINK("https://drive.google.com/open?id=0B2rLR4BADrBtX2t4UnZDNF94bU0","5120")</f>
        <v>5120</v>
      </c>
      <c r="K202" s="132" t="str">
        <f t="shared" si="30"/>
        <v>5120</v>
      </c>
      <c r="L202" s="125"/>
      <c r="M202" s="46"/>
      <c r="N202" s="126"/>
      <c r="O202" s="126"/>
      <c r="P202" s="126"/>
      <c r="Q202" s="126"/>
      <c r="R202" s="126"/>
      <c r="S202" s="126"/>
      <c r="T202" s="128">
        <v>10</v>
      </c>
      <c r="U202" s="128">
        <f t="shared" si="29"/>
        <v>2562</v>
      </c>
      <c r="V202" s="129" t="str">
        <f t="shared" si="27"/>
        <v>51</v>
      </c>
      <c r="W202" s="121">
        <f t="shared" si="31"/>
        <v>26</v>
      </c>
      <c r="X202" s="121"/>
      <c r="Y202" s="121"/>
      <c r="Z202" s="121"/>
      <c r="AA202" s="121"/>
    </row>
    <row r="203" spans="1:27" ht="18.75">
      <c r="A203" s="88"/>
      <c r="B203" s="121">
        <v>5120</v>
      </c>
      <c r="C203" s="121" t="s">
        <v>157</v>
      </c>
      <c r="D203" s="88" t="s">
        <v>990</v>
      </c>
      <c r="E203" s="121">
        <v>54</v>
      </c>
      <c r="F203" s="46" t="s">
        <v>991</v>
      </c>
      <c r="G203" s="26" t="s">
        <v>48</v>
      </c>
      <c r="H203" s="122">
        <v>28000</v>
      </c>
      <c r="I203" s="123"/>
      <c r="J203" s="130" t="str">
        <f>HYPERLINK("https://drive.google.com/open?id=0B2rLR4BADrBtOFdSOVFHanh0UnM","5120")</f>
        <v>5120</v>
      </c>
      <c r="K203" s="132" t="str">
        <f t="shared" si="30"/>
        <v>5120</v>
      </c>
      <c r="L203" s="125"/>
      <c r="M203" s="46"/>
      <c r="N203" s="126"/>
      <c r="O203" s="126"/>
      <c r="P203" s="126"/>
      <c r="Q203" s="126"/>
      <c r="R203" s="126"/>
      <c r="S203" s="126"/>
      <c r="T203" s="128">
        <v>10</v>
      </c>
      <c r="U203" s="128">
        <f t="shared" si="29"/>
        <v>2562</v>
      </c>
      <c r="V203" s="129" t="str">
        <f t="shared" si="27"/>
        <v>51</v>
      </c>
      <c r="W203" s="121">
        <f t="shared" si="31"/>
        <v>26</v>
      </c>
      <c r="X203" s="121"/>
      <c r="Y203" s="121"/>
      <c r="Z203" s="121"/>
      <c r="AA203" s="121"/>
    </row>
    <row r="204" spans="1:27" ht="18.75">
      <c r="A204" s="88"/>
      <c r="B204" s="121">
        <v>5130</v>
      </c>
      <c r="C204" s="121" t="s">
        <v>191</v>
      </c>
      <c r="D204" s="88" t="s">
        <v>992</v>
      </c>
      <c r="E204" s="121">
        <v>59</v>
      </c>
      <c r="F204" s="46" t="s">
        <v>993</v>
      </c>
      <c r="G204" s="26" t="s">
        <v>78</v>
      </c>
      <c r="H204" s="122">
        <v>15000</v>
      </c>
      <c r="I204" s="123"/>
      <c r="J204" s="130" t="str">
        <f>HYPERLINK("https://drive.google.com/open?id=0B2vBTVEfSzItaEdBQ2d1d2NQWFU","5130")</f>
        <v>5130</v>
      </c>
      <c r="K204" s="125"/>
      <c r="L204" s="125"/>
      <c r="M204" s="46"/>
      <c r="N204" s="126"/>
      <c r="O204" s="126"/>
      <c r="P204" s="126"/>
      <c r="Q204" s="126"/>
      <c r="R204" s="126"/>
      <c r="S204" s="126"/>
      <c r="T204" s="128"/>
      <c r="U204" s="128">
        <f t="shared" si="29"/>
        <v>2557</v>
      </c>
      <c r="V204" s="129" t="str">
        <f t="shared" si="27"/>
        <v>51</v>
      </c>
      <c r="W204" s="121">
        <f t="shared" si="31"/>
        <v>26</v>
      </c>
      <c r="X204" s="121"/>
      <c r="Y204" s="121"/>
      <c r="Z204" s="121"/>
      <c r="AA204" s="121"/>
    </row>
    <row r="205" spans="1:27" ht="18.75">
      <c r="A205" s="88"/>
      <c r="B205" s="121">
        <v>5130</v>
      </c>
      <c r="C205" s="121" t="s">
        <v>191</v>
      </c>
      <c r="D205" s="88" t="s">
        <v>995</v>
      </c>
      <c r="E205" s="121">
        <v>59</v>
      </c>
      <c r="F205" s="46" t="s">
        <v>997</v>
      </c>
      <c r="G205" s="26" t="s">
        <v>78</v>
      </c>
      <c r="H205" s="122">
        <v>19500</v>
      </c>
      <c r="I205" s="123"/>
      <c r="J205" s="130" t="str">
        <f>HYPERLINK("https://drive.google.com/open?id=1zWjvHOrkB3OLvhDQtereo5zV7Rg-beSU","5130")</f>
        <v>5130</v>
      </c>
      <c r="K205" s="125"/>
      <c r="L205" s="125"/>
      <c r="M205" s="46"/>
      <c r="N205" s="126"/>
      <c r="O205" s="126"/>
      <c r="P205" s="126"/>
      <c r="Q205" s="126"/>
      <c r="R205" s="126"/>
      <c r="S205" s="126"/>
      <c r="T205" s="128"/>
      <c r="U205" s="128"/>
      <c r="V205" s="129" t="str">
        <f t="shared" si="27"/>
        <v>51</v>
      </c>
      <c r="W205" s="121">
        <f t="shared" si="31"/>
        <v>26</v>
      </c>
      <c r="X205" s="121"/>
      <c r="Y205" s="121"/>
      <c r="Z205" s="121"/>
      <c r="AA205" s="121"/>
    </row>
    <row r="206" spans="1:27" ht="32.25" customHeight="1">
      <c r="A206" s="88"/>
      <c r="B206" s="121">
        <v>5130</v>
      </c>
      <c r="C206" s="121" t="s">
        <v>191</v>
      </c>
      <c r="D206" s="88" t="s">
        <v>998</v>
      </c>
      <c r="E206" s="121">
        <v>55</v>
      </c>
      <c r="F206" s="46" t="s">
        <v>999</v>
      </c>
      <c r="G206" s="26" t="s">
        <v>78</v>
      </c>
      <c r="H206" s="122">
        <v>13700</v>
      </c>
      <c r="I206" s="123"/>
      <c r="J206" s="130" t="str">
        <f>HYPERLINK("https://drive.google.com/open?id=0B2rLR4BADrBtRlN6ZG1pTnZZOU0","5130")</f>
        <v>5130</v>
      </c>
      <c r="K206" s="132" t="str">
        <f t="shared" ref="K206:K213" si="32">HYPERLINK("https://drive.google.com/drive/folders/0BwN2QqBc2z4QflhnNklpTEZqRnBLWXVqR2hINEE3NUEyMklIcTFRSzkyT1ZJR1ZhT1RZcW8","5130")</f>
        <v>5130</v>
      </c>
      <c r="L206" s="125"/>
      <c r="M206" s="46"/>
      <c r="N206" s="126"/>
      <c r="O206" s="126"/>
      <c r="P206" s="126"/>
      <c r="Q206" s="126"/>
      <c r="R206" s="126"/>
      <c r="S206" s="126"/>
      <c r="T206" s="128">
        <v>10</v>
      </c>
      <c r="U206" s="128">
        <f t="shared" ref="U206:U220" si="33">E206+T206-2+2500</f>
        <v>2563</v>
      </c>
      <c r="V206" s="129" t="str">
        <f t="shared" si="27"/>
        <v>51</v>
      </c>
      <c r="W206" s="121">
        <f t="shared" si="31"/>
        <v>26</v>
      </c>
      <c r="X206" s="121"/>
      <c r="Y206" s="121"/>
      <c r="Z206" s="121"/>
      <c r="AA206" s="121"/>
    </row>
    <row r="207" spans="1:27" ht="18.75">
      <c r="A207" s="88"/>
      <c r="B207" s="121">
        <v>5130</v>
      </c>
      <c r="C207" s="121" t="s">
        <v>157</v>
      </c>
      <c r="D207" s="88" t="s">
        <v>1000</v>
      </c>
      <c r="E207" s="121">
        <v>54</v>
      </c>
      <c r="F207" s="46" t="s">
        <v>1001</v>
      </c>
      <c r="G207" s="26" t="s">
        <v>78</v>
      </c>
      <c r="H207" s="122">
        <v>5500</v>
      </c>
      <c r="I207" s="123"/>
      <c r="J207" s="130" t="str">
        <f>HYPERLINK("https://drive.google.com/open?id=0B2rLR4BADrBtOFlaMUpHeFY0ZGc","5130")</f>
        <v>5130</v>
      </c>
      <c r="K207" s="132" t="str">
        <f t="shared" si="32"/>
        <v>5130</v>
      </c>
      <c r="L207" s="125"/>
      <c r="M207" s="46"/>
      <c r="N207" s="126"/>
      <c r="O207" s="126"/>
      <c r="P207" s="126"/>
      <c r="Q207" s="126"/>
      <c r="R207" s="126"/>
      <c r="S207" s="126"/>
      <c r="T207" s="128">
        <v>10</v>
      </c>
      <c r="U207" s="128">
        <f t="shared" si="33"/>
        <v>2562</v>
      </c>
      <c r="V207" s="129" t="str">
        <f t="shared" si="27"/>
        <v>51</v>
      </c>
      <c r="W207" s="121">
        <f t="shared" si="31"/>
        <v>26</v>
      </c>
      <c r="X207" s="121"/>
      <c r="Y207" s="121"/>
      <c r="Z207" s="121"/>
      <c r="AA207" s="121"/>
    </row>
    <row r="208" spans="1:27" ht="18.75">
      <c r="A208" s="88"/>
      <c r="B208" s="121">
        <v>5130</v>
      </c>
      <c r="C208" s="121" t="s">
        <v>191</v>
      </c>
      <c r="D208" s="88" t="s">
        <v>1002</v>
      </c>
      <c r="E208" s="121">
        <v>58</v>
      </c>
      <c r="F208" s="46" t="s">
        <v>1003</v>
      </c>
      <c r="G208" s="26" t="s">
        <v>78</v>
      </c>
      <c r="H208" s="122">
        <v>6300</v>
      </c>
      <c r="I208" s="123"/>
      <c r="J208" s="130" t="str">
        <f>HYPERLINK("https://drive.google.com/open?id=0B2vBTVEfSzItZjJ6UTdfbGMyb0k","5130")</f>
        <v>5130</v>
      </c>
      <c r="K208" s="132" t="str">
        <f t="shared" si="32"/>
        <v>5130</v>
      </c>
      <c r="L208" s="125"/>
      <c r="M208" s="46"/>
      <c r="N208" s="126"/>
      <c r="O208" s="126"/>
      <c r="P208" s="126"/>
      <c r="Q208" s="126"/>
      <c r="R208" s="126"/>
      <c r="S208" s="126"/>
      <c r="T208" s="128"/>
      <c r="U208" s="128">
        <f t="shared" si="33"/>
        <v>2556</v>
      </c>
      <c r="V208" s="129" t="str">
        <f t="shared" si="27"/>
        <v>51</v>
      </c>
      <c r="W208" s="121">
        <f t="shared" si="31"/>
        <v>26</v>
      </c>
      <c r="X208" s="121"/>
      <c r="Y208" s="121"/>
      <c r="Z208" s="121"/>
      <c r="AA208" s="121"/>
    </row>
    <row r="209" spans="1:27" ht="18.75">
      <c r="A209" s="88"/>
      <c r="B209" s="121">
        <v>5130</v>
      </c>
      <c r="C209" s="121" t="s">
        <v>191</v>
      </c>
      <c r="D209" s="88" t="s">
        <v>1004</v>
      </c>
      <c r="E209" s="121">
        <v>55</v>
      </c>
      <c r="F209" s="46" t="s">
        <v>1005</v>
      </c>
      <c r="G209" s="26" t="s">
        <v>78</v>
      </c>
      <c r="H209" s="122">
        <v>21200</v>
      </c>
      <c r="I209" s="123"/>
      <c r="J209" s="130" t="str">
        <f>HYPERLINK("https://drive.google.com/open?id=0B2rLR4BADrBtbFZBT1Y5YUFLNTA","5130")</f>
        <v>5130</v>
      </c>
      <c r="K209" s="132" t="str">
        <f t="shared" si="32"/>
        <v>5130</v>
      </c>
      <c r="L209" s="125"/>
      <c r="M209" s="46"/>
      <c r="N209" s="126"/>
      <c r="O209" s="126"/>
      <c r="P209" s="126"/>
      <c r="Q209" s="126"/>
      <c r="R209" s="126"/>
      <c r="S209" s="126"/>
      <c r="T209" s="128">
        <v>10</v>
      </c>
      <c r="U209" s="128">
        <f t="shared" si="33"/>
        <v>2563</v>
      </c>
      <c r="V209" s="129" t="str">
        <f t="shared" si="27"/>
        <v>51</v>
      </c>
      <c r="W209" s="121">
        <f t="shared" si="31"/>
        <v>26</v>
      </c>
      <c r="X209" s="121"/>
      <c r="Y209" s="121"/>
      <c r="Z209" s="121"/>
      <c r="AA209" s="121"/>
    </row>
    <row r="210" spans="1:27" ht="18.75">
      <c r="A210" s="88"/>
      <c r="B210" s="121">
        <v>5130</v>
      </c>
      <c r="C210" s="121" t="s">
        <v>191</v>
      </c>
      <c r="D210" s="88" t="s">
        <v>1006</v>
      </c>
      <c r="E210" s="121">
        <v>57</v>
      </c>
      <c r="F210" s="46" t="s">
        <v>1007</v>
      </c>
      <c r="G210" s="26" t="s">
        <v>78</v>
      </c>
      <c r="H210" s="122">
        <v>17500</v>
      </c>
      <c r="I210" s="123"/>
      <c r="J210" s="130" t="str">
        <f>HYPERLINK("https://drive.google.com/open?id=0B2rLR4BADrBtZGl3RGRBVkxmY0k","5130")</f>
        <v>5130</v>
      </c>
      <c r="K210" s="132" t="str">
        <f t="shared" si="32"/>
        <v>5130</v>
      </c>
      <c r="L210" s="125"/>
      <c r="M210" s="46"/>
      <c r="N210" s="126"/>
      <c r="O210" s="126"/>
      <c r="P210" s="126"/>
      <c r="Q210" s="126"/>
      <c r="R210" s="126"/>
      <c r="S210" s="126"/>
      <c r="T210" s="128">
        <v>10</v>
      </c>
      <c r="U210" s="128">
        <f t="shared" si="33"/>
        <v>2565</v>
      </c>
      <c r="V210" s="129" t="str">
        <f t="shared" si="27"/>
        <v>51</v>
      </c>
      <c r="W210" s="121">
        <f>COUNTIF('52-62 (สำหรับ จก.ตรวจเยี่ยม)'!$V$4:$V$286,V210)-1</f>
        <v>26</v>
      </c>
      <c r="X210" s="121"/>
      <c r="Y210" s="121"/>
      <c r="Z210" s="121"/>
      <c r="AA210" s="121"/>
    </row>
    <row r="211" spans="1:27" ht="18.75">
      <c r="A211" s="88"/>
      <c r="B211" s="121">
        <v>5130</v>
      </c>
      <c r="C211" s="121" t="s">
        <v>191</v>
      </c>
      <c r="D211" s="88" t="s">
        <v>1008</v>
      </c>
      <c r="E211" s="121">
        <v>55</v>
      </c>
      <c r="F211" s="46" t="s">
        <v>1009</v>
      </c>
      <c r="G211" s="26" t="s">
        <v>78</v>
      </c>
      <c r="H211" s="122">
        <v>4500</v>
      </c>
      <c r="I211" s="123"/>
      <c r="J211" s="130" t="str">
        <f>HYPERLINK("https://drive.google.com/open?id=0B2rLR4BADrBtNmUyN0dDUWR0SEU","5130")</f>
        <v>5130</v>
      </c>
      <c r="K211" s="132" t="str">
        <f t="shared" si="32"/>
        <v>5130</v>
      </c>
      <c r="L211" s="125"/>
      <c r="M211" s="46"/>
      <c r="N211" s="126"/>
      <c r="O211" s="126"/>
      <c r="P211" s="126"/>
      <c r="Q211" s="126"/>
      <c r="R211" s="126"/>
      <c r="S211" s="126"/>
      <c r="T211" s="128">
        <v>10</v>
      </c>
      <c r="U211" s="128">
        <f t="shared" si="33"/>
        <v>2563</v>
      </c>
      <c r="V211" s="129" t="str">
        <f t="shared" si="27"/>
        <v>51</v>
      </c>
      <c r="W211" s="121">
        <f>COUNTIF('52-62 (สำหรับ จก.ตรวจเยี่ยม)'!$V$4:$V$286,V211)-1</f>
        <v>26</v>
      </c>
      <c r="X211" s="121"/>
      <c r="Y211" s="121"/>
      <c r="Z211" s="121"/>
      <c r="AA211" s="121"/>
    </row>
    <row r="212" spans="1:27" ht="18.75">
      <c r="A212" s="88"/>
      <c r="B212" s="121">
        <v>5130</v>
      </c>
      <c r="C212" s="121" t="s">
        <v>256</v>
      </c>
      <c r="D212" s="88" t="s">
        <v>1010</v>
      </c>
      <c r="E212" s="121">
        <v>53</v>
      </c>
      <c r="F212" s="46" t="s">
        <v>1011</v>
      </c>
      <c r="G212" s="26" t="s">
        <v>78</v>
      </c>
      <c r="H212" s="122">
        <v>9000</v>
      </c>
      <c r="I212" s="123"/>
      <c r="J212" s="130" t="str">
        <f>HYPERLINK("https://drive.google.com/open?id=0B2vBTVEfSzItZVdEV0dUYTR4czA","5130")</f>
        <v>5130</v>
      </c>
      <c r="K212" s="132" t="str">
        <f t="shared" si="32"/>
        <v>5130</v>
      </c>
      <c r="L212" s="125"/>
      <c r="M212" s="46"/>
      <c r="N212" s="126"/>
      <c r="O212" s="126"/>
      <c r="P212" s="126"/>
      <c r="Q212" s="126"/>
      <c r="R212" s="126"/>
      <c r="S212" s="126"/>
      <c r="T212" s="128">
        <v>10</v>
      </c>
      <c r="U212" s="128">
        <f t="shared" si="33"/>
        <v>2561</v>
      </c>
      <c r="V212" s="129" t="str">
        <f t="shared" si="27"/>
        <v>51</v>
      </c>
      <c r="W212" s="121">
        <f t="shared" ref="W212:W219" si="34">COUNTIF($V$4:$V$286,V212)-1</f>
        <v>26</v>
      </c>
      <c r="X212" s="121"/>
      <c r="Y212" s="121"/>
      <c r="Z212" s="121"/>
      <c r="AA212" s="121"/>
    </row>
    <row r="213" spans="1:27" ht="18.75">
      <c r="A213" s="88"/>
      <c r="B213" s="121">
        <v>5130</v>
      </c>
      <c r="C213" s="121" t="s">
        <v>191</v>
      </c>
      <c r="D213" s="88" t="s">
        <v>1012</v>
      </c>
      <c r="E213" s="121">
        <v>53</v>
      </c>
      <c r="F213" s="46" t="s">
        <v>1013</v>
      </c>
      <c r="G213" s="26" t="s">
        <v>78</v>
      </c>
      <c r="H213" s="122">
        <v>5600</v>
      </c>
      <c r="I213" s="123"/>
      <c r="J213" s="130" t="str">
        <f>HYPERLINK("https://drive.google.com/open?id=0B2rLR4BADrBtcUVBTlEyek53aW8","5130")</f>
        <v>5130</v>
      </c>
      <c r="K213" s="132" t="str">
        <f t="shared" si="32"/>
        <v>5130</v>
      </c>
      <c r="L213" s="125"/>
      <c r="M213" s="46"/>
      <c r="N213" s="126"/>
      <c r="O213" s="126"/>
      <c r="P213" s="126"/>
      <c r="Q213" s="126"/>
      <c r="R213" s="126"/>
      <c r="S213" s="126"/>
      <c r="T213" s="128">
        <v>10</v>
      </c>
      <c r="U213" s="128">
        <f t="shared" si="33"/>
        <v>2561</v>
      </c>
      <c r="V213" s="129" t="str">
        <f t="shared" si="27"/>
        <v>51</v>
      </c>
      <c r="W213" s="121">
        <f t="shared" si="34"/>
        <v>26</v>
      </c>
      <c r="X213" s="121"/>
      <c r="Y213" s="121"/>
      <c r="Z213" s="121"/>
      <c r="AA213" s="121"/>
    </row>
    <row r="214" spans="1:27" ht="18.75">
      <c r="A214" s="88"/>
      <c r="B214" s="121">
        <v>5130</v>
      </c>
      <c r="C214" s="121" t="s">
        <v>191</v>
      </c>
      <c r="D214" s="88" t="s">
        <v>1014</v>
      </c>
      <c r="E214" s="121">
        <v>53</v>
      </c>
      <c r="F214" s="46" t="s">
        <v>1015</v>
      </c>
      <c r="G214" s="26" t="s">
        <v>78</v>
      </c>
      <c r="H214" s="122">
        <v>6900</v>
      </c>
      <c r="I214" s="123"/>
      <c r="J214" s="130" t="str">
        <f>HYPERLINK("https://drive.google.com/open?id=0B2vBTVEfSzItWUVzTlh0OEpfM0E","5130")</f>
        <v>5130</v>
      </c>
      <c r="K214" s="133" t="str">
        <f>HYPERLINK("https://drive.google.com/drive/folders/0BwQ57SNHxB3BaTgxQUtZcFZXLUk","5130")</f>
        <v>5130</v>
      </c>
      <c r="L214" s="134"/>
      <c r="M214" s="46"/>
      <c r="N214" s="126"/>
      <c r="O214" s="126"/>
      <c r="P214" s="126"/>
      <c r="Q214" s="126"/>
      <c r="R214" s="126"/>
      <c r="S214" s="126"/>
      <c r="T214" s="128">
        <v>10</v>
      </c>
      <c r="U214" s="128">
        <f t="shared" si="33"/>
        <v>2561</v>
      </c>
      <c r="V214" s="129" t="str">
        <f t="shared" si="27"/>
        <v>51</v>
      </c>
      <c r="W214" s="121">
        <f t="shared" si="34"/>
        <v>26</v>
      </c>
      <c r="X214" s="121"/>
      <c r="Y214" s="121"/>
      <c r="Z214" s="121"/>
      <c r="AA214" s="121"/>
    </row>
    <row r="215" spans="1:27" ht="18.75">
      <c r="A215" s="88"/>
      <c r="B215" s="121">
        <v>5130</v>
      </c>
      <c r="C215" s="121" t="s">
        <v>191</v>
      </c>
      <c r="D215" s="88" t="s">
        <v>1016</v>
      </c>
      <c r="E215" s="121">
        <v>55</v>
      </c>
      <c r="F215" s="46" t="s">
        <v>1017</v>
      </c>
      <c r="G215" s="26" t="s">
        <v>78</v>
      </c>
      <c r="H215" s="122">
        <v>6500</v>
      </c>
      <c r="I215" s="123"/>
      <c r="J215" s="130" t="str">
        <f>HYPERLINK("https://drive.google.com/open?id=0B2rLR4BADrBtUW9kTzJieDdDOEE","5130")</f>
        <v>5130</v>
      </c>
      <c r="K215" s="132" t="str">
        <f>HYPERLINK("https://drive.google.com/drive/folders/0BwN2QqBc2z4QflhnNklpTEZqRnBLWXVqR2hINEE3NUEyMklIcTFRSzkyT1ZJR1ZhT1RZcW8","5130")</f>
        <v>5130</v>
      </c>
      <c r="L215" s="125"/>
      <c r="M215" s="46"/>
      <c r="N215" s="126"/>
      <c r="O215" s="126"/>
      <c r="P215" s="126"/>
      <c r="Q215" s="126"/>
      <c r="R215" s="126"/>
      <c r="S215" s="126"/>
      <c r="T215" s="128">
        <v>10</v>
      </c>
      <c r="U215" s="128">
        <f t="shared" si="33"/>
        <v>2563</v>
      </c>
      <c r="V215" s="129" t="str">
        <f t="shared" si="27"/>
        <v>51</v>
      </c>
      <c r="W215" s="121">
        <f t="shared" si="34"/>
        <v>26</v>
      </c>
      <c r="X215" s="121"/>
      <c r="Y215" s="121"/>
      <c r="Z215" s="121"/>
      <c r="AA215" s="121"/>
    </row>
    <row r="216" spans="1:27" ht="18.75">
      <c r="A216" s="88"/>
      <c r="B216" s="121">
        <v>5130</v>
      </c>
      <c r="C216" s="121" t="s">
        <v>191</v>
      </c>
      <c r="D216" s="88" t="s">
        <v>1018</v>
      </c>
      <c r="E216" s="121">
        <v>55</v>
      </c>
      <c r="F216" s="46" t="s">
        <v>1019</v>
      </c>
      <c r="G216" s="26" t="s">
        <v>78</v>
      </c>
      <c r="H216" s="122">
        <v>10800</v>
      </c>
      <c r="I216" s="123"/>
      <c r="J216" s="130" t="str">
        <f>HYPERLINK("https://drive.google.com/open?id=0B2rLR4BADrBtcHI4dzlUY0dMVkE","5130")</f>
        <v>5130</v>
      </c>
      <c r="K216" s="132" t="str">
        <f>HYPERLINK("https://drive.google.com/drive/folders/0BwN2QqBc2z4QflhnNklpTEZqRnBLWXVqR2hINEE3NUEyMklIcTFRSzkyT1ZJR1ZhT1RZcW8","5130")</f>
        <v>5130</v>
      </c>
      <c r="L216" s="125"/>
      <c r="M216" s="46"/>
      <c r="N216" s="126"/>
      <c r="O216" s="126"/>
      <c r="P216" s="126"/>
      <c r="Q216" s="126"/>
      <c r="R216" s="126"/>
      <c r="S216" s="126"/>
      <c r="T216" s="128">
        <v>10</v>
      </c>
      <c r="U216" s="128">
        <f t="shared" si="33"/>
        <v>2563</v>
      </c>
      <c r="V216" s="129" t="str">
        <f t="shared" si="27"/>
        <v>51</v>
      </c>
      <c r="W216" s="121">
        <f t="shared" si="34"/>
        <v>26</v>
      </c>
      <c r="X216" s="121"/>
      <c r="Y216" s="121"/>
      <c r="Z216" s="121"/>
      <c r="AA216" s="121"/>
    </row>
    <row r="217" spans="1:27" ht="18.75">
      <c r="A217" s="88"/>
      <c r="B217" s="121">
        <v>5130</v>
      </c>
      <c r="C217" s="121" t="s">
        <v>191</v>
      </c>
      <c r="D217" s="88" t="s">
        <v>1020</v>
      </c>
      <c r="E217" s="121">
        <v>53</v>
      </c>
      <c r="F217" s="46" t="s">
        <v>1021</v>
      </c>
      <c r="G217" s="26" t="s">
        <v>78</v>
      </c>
      <c r="H217" s="122">
        <v>11500</v>
      </c>
      <c r="I217" s="123"/>
      <c r="J217" s="130" t="str">
        <f>HYPERLINK("https://drive.google.com/open?id=0B2rLR4BADrBtQWdEQXZiWTlkSG8","5130")</f>
        <v>5130</v>
      </c>
      <c r="K217" s="132" t="str">
        <f>HYPERLINK("https://drive.google.com/drive/folders/0BwN2QqBc2z4QflhnNklpTEZqRnBLWXVqR2hINEE3NUEyMklIcTFRSzkyT1ZJR1ZhT1RZcW8","5130")</f>
        <v>5130</v>
      </c>
      <c r="L217" s="125"/>
      <c r="M217" s="46"/>
      <c r="N217" s="126"/>
      <c r="O217" s="126"/>
      <c r="P217" s="126"/>
      <c r="Q217" s="126"/>
      <c r="R217" s="126"/>
      <c r="S217" s="126"/>
      <c r="T217" s="128">
        <v>10</v>
      </c>
      <c r="U217" s="128">
        <f t="shared" si="33"/>
        <v>2561</v>
      </c>
      <c r="V217" s="129" t="str">
        <f t="shared" si="27"/>
        <v>51</v>
      </c>
      <c r="W217" s="121">
        <f t="shared" si="34"/>
        <v>26</v>
      </c>
      <c r="X217" s="121"/>
      <c r="Y217" s="121"/>
      <c r="Z217" s="121"/>
      <c r="AA217" s="121"/>
    </row>
    <row r="218" spans="1:27" ht="18.75">
      <c r="A218" s="88"/>
      <c r="B218" s="121">
        <v>5130</v>
      </c>
      <c r="C218" s="121" t="s">
        <v>191</v>
      </c>
      <c r="D218" s="88" t="s">
        <v>1022</v>
      </c>
      <c r="E218" s="121">
        <v>52</v>
      </c>
      <c r="F218" s="46" t="s">
        <v>1023</v>
      </c>
      <c r="G218" s="26" t="s">
        <v>78</v>
      </c>
      <c r="H218" s="122">
        <v>12500</v>
      </c>
      <c r="I218" s="123"/>
      <c r="J218" s="130" t="str">
        <f>HYPERLINK("https://drive.google.com/open?id=0B2rLR4BADrBtNUgzZ0lCaUVWcTA","5130")</f>
        <v>5130</v>
      </c>
      <c r="K218" s="132" t="str">
        <f>HYPERLINK("https://drive.google.com/drive/folders/0BwN2QqBc2z4QflhnNklpTEZqRnBLWXVqR2hINEE3NUEyMklIcTFRSzkyT1ZJR1ZhT1RZcW8","5130")</f>
        <v>5130</v>
      </c>
      <c r="L218" s="125"/>
      <c r="M218" s="46"/>
      <c r="N218" s="126"/>
      <c r="O218" s="126"/>
      <c r="P218" s="126"/>
      <c r="Q218" s="126"/>
      <c r="R218" s="126"/>
      <c r="S218" s="126"/>
      <c r="T218" s="128">
        <v>10</v>
      </c>
      <c r="U218" s="128">
        <f t="shared" si="33"/>
        <v>2560</v>
      </c>
      <c r="V218" s="129" t="str">
        <f t="shared" si="27"/>
        <v>51</v>
      </c>
      <c r="W218" s="121">
        <f t="shared" si="34"/>
        <v>26</v>
      </c>
      <c r="X218" s="121"/>
      <c r="Y218" s="121"/>
      <c r="Z218" s="121"/>
      <c r="AA218" s="121"/>
    </row>
    <row r="219" spans="1:27" ht="18.75">
      <c r="A219" s="88"/>
      <c r="B219" s="121">
        <v>5133</v>
      </c>
      <c r="C219" s="121" t="s">
        <v>157</v>
      </c>
      <c r="D219" s="88" t="s">
        <v>1024</v>
      </c>
      <c r="E219" s="121">
        <v>53</v>
      </c>
      <c r="F219" s="46" t="s">
        <v>1025</v>
      </c>
      <c r="G219" s="26" t="s">
        <v>53</v>
      </c>
      <c r="H219" s="122">
        <v>4500</v>
      </c>
      <c r="I219" s="123"/>
      <c r="J219" s="130" t="str">
        <f>HYPERLINK("https://drive.google.com/open?id=0B2vBTVEfSzItZ2VsWEh3TEdhT0E","5133")</f>
        <v>5133</v>
      </c>
      <c r="K219" s="132" t="str">
        <f>HYPERLINK("https://drive.google.com/drive/folders/0BwQ57SNHxB3Bc3ZGVkRXWUpyRWs","5133")</f>
        <v>5133</v>
      </c>
      <c r="L219" s="125"/>
      <c r="M219" s="93"/>
      <c r="N219" s="126"/>
      <c r="O219" s="126"/>
      <c r="P219" s="126"/>
      <c r="Q219" s="126"/>
      <c r="R219" s="126"/>
      <c r="S219" s="126"/>
      <c r="T219" s="128">
        <v>10</v>
      </c>
      <c r="U219" s="128">
        <f t="shared" si="33"/>
        <v>2561</v>
      </c>
      <c r="V219" s="129" t="str">
        <f t="shared" si="27"/>
        <v>51</v>
      </c>
      <c r="W219" s="121">
        <f t="shared" si="34"/>
        <v>26</v>
      </c>
      <c r="X219" s="121"/>
      <c r="Y219" s="121"/>
      <c r="Z219" s="121"/>
      <c r="AA219" s="121"/>
    </row>
    <row r="220" spans="1:27" ht="18.75">
      <c r="A220" s="88"/>
      <c r="B220" s="121">
        <v>5180</v>
      </c>
      <c r="C220" s="121" t="s">
        <v>157</v>
      </c>
      <c r="D220" s="88" t="s">
        <v>1026</v>
      </c>
      <c r="E220" s="121">
        <v>54</v>
      </c>
      <c r="F220" s="46" t="s">
        <v>1027</v>
      </c>
      <c r="G220" s="26" t="s">
        <v>53</v>
      </c>
      <c r="H220" s="122">
        <v>28000</v>
      </c>
      <c r="I220" s="123"/>
      <c r="J220" s="130" t="str">
        <f>HYPERLINK("https://drive.google.com/open?id=0B2rLR4BADrBtYUhrQTJrMFdiTWc","5180")</f>
        <v>5180</v>
      </c>
      <c r="K220" s="132" t="str">
        <f>HYPERLINK("https://drive.google.com/drive/folders/0BwQ57SNHxB3BbzltSHJMTDBiRW8","5180")</f>
        <v>5180</v>
      </c>
      <c r="L220" s="125"/>
      <c r="M220" s="46"/>
      <c r="N220" s="126"/>
      <c r="O220" s="126"/>
      <c r="P220" s="126"/>
      <c r="Q220" s="126"/>
      <c r="R220" s="126"/>
      <c r="S220" s="126"/>
      <c r="T220" s="135">
        <v>10</v>
      </c>
      <c r="U220" s="135">
        <f t="shared" si="33"/>
        <v>2562</v>
      </c>
      <c r="V220" s="129" t="str">
        <f t="shared" si="27"/>
        <v>51</v>
      </c>
      <c r="W220" s="121">
        <f>COUNTIF('52-62 (สำหรับ จก.ตรวจเยี่ยม)'!$V$4:$V$286,V220)-1</f>
        <v>26</v>
      </c>
      <c r="X220" s="121"/>
      <c r="Y220" s="121"/>
      <c r="Z220" s="121"/>
      <c r="AA220" s="121"/>
    </row>
    <row r="221" spans="1:27" ht="18.75">
      <c r="A221" s="117"/>
      <c r="B221" s="117">
        <v>5200</v>
      </c>
      <c r="C221" s="117"/>
      <c r="D221" s="117" t="str">
        <f>"พัสดุ"&amp; VLOOKUP(V221,'เลขSpec.2 ตัวแรก'!$A$2:$B$100,2,FALSE)&amp; " จำนวน "&amp;W221&amp;" รายการ"</f>
        <v>พัสดุหมวด 52 เครื่องมือวัด จำนวน 0 รายการ</v>
      </c>
      <c r="E221" s="119"/>
      <c r="F221" s="119"/>
      <c r="G221" s="119"/>
      <c r="H221" s="117"/>
      <c r="I221" s="117"/>
      <c r="J221" s="117"/>
      <c r="K221" s="118"/>
      <c r="L221" s="117"/>
      <c r="M221" s="117"/>
      <c r="N221" s="117"/>
      <c r="O221" s="117"/>
      <c r="P221" s="117"/>
      <c r="Q221" s="119"/>
      <c r="R221" s="119"/>
      <c r="S221" s="119"/>
      <c r="T221" s="117"/>
      <c r="U221" s="117"/>
      <c r="V221" s="117" t="str">
        <f t="shared" si="27"/>
        <v>52</v>
      </c>
      <c r="W221" s="118">
        <f>COUNTIF($V$2:$V$286,V221)-1</f>
        <v>0</v>
      </c>
      <c r="X221" s="117"/>
      <c r="Y221" s="24"/>
      <c r="Z221" s="24"/>
      <c r="AA221" s="24"/>
    </row>
    <row r="222" spans="1:27" ht="18.75">
      <c r="A222" s="117"/>
      <c r="B222" s="117">
        <v>5300</v>
      </c>
      <c r="C222" s="117"/>
      <c r="D222" s="120" t="str">
        <f>"พัสดุ"&amp; VLOOKUP(V222,'เลขSpec.2 ตัวแรก'!$A$2:$B$100,2,FALSE)&amp; " จำนวน "&amp;W222&amp;" รายการ"</f>
        <v>พัสดุหมวด 53 ฮาร์ดแวร์และวัสดุสำหรับขัด จำนวน 2 รายการ</v>
      </c>
      <c r="E222" s="119"/>
      <c r="F222" s="119"/>
      <c r="G222" s="117"/>
      <c r="H222" s="117"/>
      <c r="I222" s="117"/>
      <c r="J222" s="118"/>
      <c r="K222" s="117"/>
      <c r="L222" s="117"/>
      <c r="M222" s="117"/>
      <c r="N222" s="117"/>
      <c r="O222" s="117"/>
      <c r="P222" s="119"/>
      <c r="Q222" s="119"/>
      <c r="R222" s="119"/>
      <c r="S222" s="117"/>
      <c r="T222" s="117"/>
      <c r="U222" s="117"/>
      <c r="V222" s="118" t="str">
        <f t="shared" si="27"/>
        <v>53</v>
      </c>
      <c r="W222" s="117">
        <f>COUNTIF($V$4:$V$286,V222)-1</f>
        <v>2</v>
      </c>
      <c r="X222" s="117"/>
      <c r="Y222" s="24"/>
      <c r="Z222" s="24"/>
      <c r="AA222" s="24"/>
    </row>
    <row r="223" spans="1:27" ht="18.75">
      <c r="A223" s="88"/>
      <c r="B223" s="121">
        <v>5345</v>
      </c>
      <c r="C223" s="121" t="s">
        <v>157</v>
      </c>
      <c r="D223" s="88" t="s">
        <v>1028</v>
      </c>
      <c r="E223" s="121">
        <v>52</v>
      </c>
      <c r="F223" s="46" t="s">
        <v>1029</v>
      </c>
      <c r="G223" s="26" t="s">
        <v>48</v>
      </c>
      <c r="H223" s="122">
        <v>6500</v>
      </c>
      <c r="I223" s="123"/>
      <c r="J223" s="130" t="str">
        <f>HYPERLINK("https://drive.google.com/open?id=0B2rLR4BADrBtWDlRQk1xWlVaWGM","5345")</f>
        <v>5345</v>
      </c>
      <c r="K223" s="132" t="str">
        <f>HYPERLINK("https://drive.google.com/drive/folders/0BwQ57SNHxB3BSTFWM3BieXJXZ1E","5345")</f>
        <v>5345</v>
      </c>
      <c r="L223" s="125"/>
      <c r="M223" s="46"/>
      <c r="N223" s="126"/>
      <c r="O223" s="126"/>
      <c r="P223" s="126"/>
      <c r="Q223" s="126"/>
      <c r="R223" s="126"/>
      <c r="S223" s="126"/>
      <c r="T223" s="128">
        <v>15</v>
      </c>
      <c r="U223" s="128">
        <f>E223+T223-2+2500</f>
        <v>2565</v>
      </c>
      <c r="V223" s="129" t="str">
        <f t="shared" si="27"/>
        <v>53</v>
      </c>
      <c r="W223" s="121">
        <f>COUNTIF($V$4:$V$286,V223)-1</f>
        <v>2</v>
      </c>
      <c r="X223" s="121"/>
      <c r="Y223" s="121"/>
      <c r="Z223" s="121"/>
      <c r="AA223" s="121"/>
    </row>
    <row r="224" spans="1:27" ht="18.75">
      <c r="A224" s="88"/>
      <c r="B224" s="121">
        <v>5345</v>
      </c>
      <c r="C224" s="121" t="s">
        <v>157</v>
      </c>
      <c r="D224" s="88" t="s">
        <v>1030</v>
      </c>
      <c r="E224" s="121">
        <v>53</v>
      </c>
      <c r="F224" s="46" t="s">
        <v>1031</v>
      </c>
      <c r="G224" s="26" t="s">
        <v>48</v>
      </c>
      <c r="H224" s="122">
        <v>8500</v>
      </c>
      <c r="I224" s="123"/>
      <c r="J224" s="130" t="str">
        <f>HYPERLINK("https://drive.google.com/open?id=0B2rLR4BADrBtOXB0UGE5Vkw3M00","5345")</f>
        <v>5345</v>
      </c>
      <c r="K224" s="132" t="str">
        <f>HYPERLINK("https://drive.google.com/drive/folders/0BwQ57SNHxB3BSTFWM3BieXJXZ1E","5345")</f>
        <v>5345</v>
      </c>
      <c r="L224" s="125"/>
      <c r="M224" s="46"/>
      <c r="N224" s="126"/>
      <c r="O224" s="126"/>
      <c r="P224" s="126"/>
      <c r="Q224" s="126"/>
      <c r="R224" s="126"/>
      <c r="S224" s="126"/>
      <c r="T224" s="128">
        <v>15</v>
      </c>
      <c r="U224" s="128">
        <f>E224+T224-2+2500</f>
        <v>2566</v>
      </c>
      <c r="V224" s="129" t="str">
        <f t="shared" si="27"/>
        <v>53</v>
      </c>
      <c r="W224" s="121">
        <f>COUNTIF($V$4:$V$286,V224)-1</f>
        <v>2</v>
      </c>
      <c r="X224" s="121"/>
      <c r="Y224" s="121"/>
      <c r="Z224" s="121"/>
      <c r="AA224" s="121"/>
    </row>
    <row r="225" spans="1:27" ht="18.75">
      <c r="A225" s="117"/>
      <c r="B225" s="117">
        <v>5400</v>
      </c>
      <c r="C225" s="117"/>
      <c r="D225" s="120" t="str">
        <f>"พัสดุ"&amp; VLOOKUP(V225,'เลขSpec.2 ตัวแรก'!$A$2:$B$100,2,FALSE)&amp; " จำนวน "&amp;W225&amp;" รายการ"</f>
        <v>พัสดุหมวด 54 โครงสร้างสำเร็จรูปและเครื่องนั่งร้าน จำนวน 2 รายการ</v>
      </c>
      <c r="E225" s="119"/>
      <c r="F225" s="119"/>
      <c r="G225" s="117"/>
      <c r="H225" s="117"/>
      <c r="I225" s="117"/>
      <c r="J225" s="118"/>
      <c r="K225" s="117"/>
      <c r="L225" s="117"/>
      <c r="M225" s="117"/>
      <c r="N225" s="117"/>
      <c r="O225" s="117"/>
      <c r="P225" s="119"/>
      <c r="Q225" s="119"/>
      <c r="R225" s="119"/>
      <c r="S225" s="117"/>
      <c r="T225" s="117"/>
      <c r="U225" s="117"/>
      <c r="V225" s="118" t="str">
        <f t="shared" si="27"/>
        <v>54</v>
      </c>
      <c r="W225" s="117">
        <f>COUNTIF($V$4:$V$286,V225)-1</f>
        <v>2</v>
      </c>
      <c r="X225" s="117"/>
      <c r="Y225" s="24"/>
      <c r="Z225" s="24"/>
      <c r="AA225" s="24"/>
    </row>
    <row r="226" spans="1:27" ht="18.75">
      <c r="A226" s="88"/>
      <c r="B226" s="121">
        <v>5410</v>
      </c>
      <c r="C226" s="121" t="s">
        <v>191</v>
      </c>
      <c r="D226" s="88" t="s">
        <v>1032</v>
      </c>
      <c r="E226" s="121">
        <v>54</v>
      </c>
      <c r="F226" s="46" t="s">
        <v>1033</v>
      </c>
      <c r="G226" s="26" t="s">
        <v>358</v>
      </c>
      <c r="H226" s="122">
        <v>190000</v>
      </c>
      <c r="I226" s="123"/>
      <c r="J226" s="130" t="str">
        <f>HYPERLINK("https://drive.google.com/open?id=0B2rLR4BADrBtTW1sVjNJYnJXa1U","5410")</f>
        <v>5410</v>
      </c>
      <c r="K226" s="132" t="str">
        <f>HYPERLINK("https://drive.google.com/drive/folders/0BwQ57SNHxB3BQzNCbmlnSFBlbVU","5410")</f>
        <v>5410</v>
      </c>
      <c r="L226" s="125"/>
      <c r="M226" s="46"/>
      <c r="N226" s="126"/>
      <c r="O226" s="126"/>
      <c r="P226" s="126"/>
      <c r="Q226" s="126"/>
      <c r="R226" s="126"/>
      <c r="S226" s="126"/>
      <c r="T226" s="128">
        <v>20</v>
      </c>
      <c r="U226" s="128">
        <f>E226+T226-2+2500</f>
        <v>2572</v>
      </c>
      <c r="V226" s="129" t="str">
        <f t="shared" si="27"/>
        <v>54</v>
      </c>
      <c r="W226" s="121">
        <f>COUNTIF('52-62 (สำหรับ จก.ตรวจเยี่ยม)'!$V$4:$V$286,V226)-1</f>
        <v>2</v>
      </c>
      <c r="X226" s="121"/>
      <c r="Y226" s="121"/>
      <c r="Z226" s="121"/>
      <c r="AA226" s="121"/>
    </row>
    <row r="227" spans="1:27" ht="18.75">
      <c r="A227" s="88"/>
      <c r="B227" s="121">
        <v>5430</v>
      </c>
      <c r="C227" s="121" t="s">
        <v>256</v>
      </c>
      <c r="D227" s="88" t="s">
        <v>1036</v>
      </c>
      <c r="E227" s="121">
        <v>59</v>
      </c>
      <c r="F227" s="46" t="s">
        <v>1037</v>
      </c>
      <c r="G227" s="26" t="s">
        <v>433</v>
      </c>
      <c r="H227" s="122">
        <v>17000</v>
      </c>
      <c r="I227" s="123">
        <v>42653</v>
      </c>
      <c r="J227" s="130" t="str">
        <f>HYPERLINK("https://drive.google.com/open?id=0B2vBTVEfSzItNF9vNEI2ZkVldXM","5430")</f>
        <v>5430</v>
      </c>
      <c r="K227" s="125"/>
      <c r="L227" s="125"/>
      <c r="M227" s="46"/>
      <c r="N227" s="126"/>
      <c r="O227" s="126"/>
      <c r="P227" s="126"/>
      <c r="Q227" s="126"/>
      <c r="R227" s="126"/>
      <c r="S227" s="126"/>
      <c r="T227" s="128"/>
      <c r="U227" s="128">
        <f>E227+T227-2+2500</f>
        <v>2557</v>
      </c>
      <c r="V227" s="129" t="str">
        <f t="shared" si="27"/>
        <v>54</v>
      </c>
      <c r="W227" s="121">
        <f>COUNTIF('52-62 (สำหรับ จก.ตรวจเยี่ยม)'!$V$4:$V$286,V227)-1</f>
        <v>2</v>
      </c>
      <c r="X227" s="121"/>
      <c r="Y227" s="121"/>
      <c r="Z227" s="121"/>
      <c r="AA227" s="121"/>
    </row>
    <row r="228" spans="1:27" ht="18.75">
      <c r="A228" s="117"/>
      <c r="B228" s="118">
        <v>5600</v>
      </c>
      <c r="C228" s="117"/>
      <c r="D228" s="117" t="str">
        <f>"พัสดุ"&amp; VLOOKUP(V228,'เลขSpec.2 ตัวแรก'!$A$2:$B$100,2,FALSE)&amp; " จำนวน "&amp;W228&amp;" รายการ"</f>
        <v>พัสดุหมวด 56 วัสดุอาคารและการก่อสร้าง จำนวน 0 รายการ</v>
      </c>
      <c r="E228" s="117"/>
      <c r="F228" s="117"/>
      <c r="G228" s="117"/>
      <c r="H228" s="119"/>
      <c r="I228" s="119"/>
      <c r="J228" s="119"/>
      <c r="K228" s="117"/>
      <c r="L228" s="117"/>
      <c r="M228" s="117"/>
      <c r="N228" s="118"/>
      <c r="O228" s="117"/>
      <c r="P228" s="117"/>
      <c r="Q228" s="117"/>
      <c r="R228" s="117"/>
      <c r="S228" s="117"/>
      <c r="T228" s="119"/>
      <c r="U228" s="119"/>
      <c r="V228" s="119" t="str">
        <f t="shared" si="27"/>
        <v>56</v>
      </c>
      <c r="W228" s="117">
        <f t="shared" ref="W228:W264" si="35">COUNTIF($V$4:$V$286,V228)-1</f>
        <v>0</v>
      </c>
      <c r="X228" s="117"/>
      <c r="Y228" s="24"/>
      <c r="Z228" s="24"/>
      <c r="AA228" s="24"/>
    </row>
    <row r="229" spans="1:27" ht="18.75">
      <c r="A229" s="118"/>
      <c r="B229" s="117">
        <v>5900</v>
      </c>
      <c r="C229" s="117"/>
      <c r="D229" s="117" t="str">
        <f>"พัสดุ"&amp; VLOOKUP(V229,'เลขSpec.2 ตัวแรก'!$A$2:$B$100,2,FALSE)&amp; " จำนวน "&amp;W229&amp;" รายการ"</f>
        <v>พัสดุหมวด 59 ส่วนประกอบบริภัณฑ์ไฟฟ้าและ อิเล็กทรอนิกส์ จำนวน 2 รายการ</v>
      </c>
      <c r="E229" s="117"/>
      <c r="F229" s="117"/>
      <c r="G229" s="119"/>
      <c r="H229" s="119"/>
      <c r="I229" s="119"/>
      <c r="J229" s="117"/>
      <c r="K229" s="117"/>
      <c r="L229" s="117"/>
      <c r="M229" s="118"/>
      <c r="N229" s="117"/>
      <c r="O229" s="117"/>
      <c r="P229" s="117"/>
      <c r="Q229" s="117"/>
      <c r="R229" s="117"/>
      <c r="S229" s="119"/>
      <c r="T229" s="119"/>
      <c r="U229" s="119"/>
      <c r="V229" s="117" t="str">
        <f t="shared" si="27"/>
        <v>59</v>
      </c>
      <c r="W229" s="117">
        <f t="shared" si="35"/>
        <v>2</v>
      </c>
      <c r="X229" s="117"/>
      <c r="Y229" s="24"/>
      <c r="Z229" s="24"/>
      <c r="AA229" s="24"/>
    </row>
    <row r="230" spans="1:27" ht="18.75">
      <c r="A230" s="88"/>
      <c r="B230" s="121">
        <v>5925</v>
      </c>
      <c r="C230" s="121" t="s">
        <v>37</v>
      </c>
      <c r="D230" s="88" t="s">
        <v>1042</v>
      </c>
      <c r="E230" s="121">
        <v>60</v>
      </c>
      <c r="F230" s="46" t="s">
        <v>1043</v>
      </c>
      <c r="G230" s="26" t="s">
        <v>1044</v>
      </c>
      <c r="H230" s="122">
        <v>29000</v>
      </c>
      <c r="I230" s="123"/>
      <c r="J230" s="130" t="str">
        <f>HYPERLINK("https://drive.google.com/open?id=0B2vBTVEfSzItcmcyRTRXclRCb3c","5925")</f>
        <v>5925</v>
      </c>
      <c r="K230" s="125"/>
      <c r="L230" s="125"/>
      <c r="M230" s="46"/>
      <c r="N230" s="126"/>
      <c r="O230" s="126"/>
      <c r="P230" s="126"/>
      <c r="Q230" s="126"/>
      <c r="R230" s="126"/>
      <c r="S230" s="126"/>
      <c r="T230" s="135"/>
      <c r="U230" s="135">
        <f>E230+T230-2+2500</f>
        <v>2558</v>
      </c>
      <c r="V230" s="129" t="str">
        <f t="shared" si="27"/>
        <v>59</v>
      </c>
      <c r="W230" s="121">
        <f t="shared" si="35"/>
        <v>2</v>
      </c>
      <c r="X230" s="121"/>
      <c r="Y230" s="121"/>
      <c r="Z230" s="121"/>
      <c r="AA230" s="121"/>
    </row>
    <row r="231" spans="1:27" ht="18.75">
      <c r="A231" s="88"/>
      <c r="B231" s="121">
        <v>5925</v>
      </c>
      <c r="C231" s="121" t="s">
        <v>37</v>
      </c>
      <c r="D231" s="88" t="s">
        <v>1046</v>
      </c>
      <c r="E231" s="121">
        <v>54</v>
      </c>
      <c r="F231" s="46" t="s">
        <v>1048</v>
      </c>
      <c r="G231" s="26" t="s">
        <v>1044</v>
      </c>
      <c r="H231" s="122"/>
      <c r="I231" s="123"/>
      <c r="J231" s="130" t="str">
        <f>HYPERLINK("https://drive.google.com/open?id=0B2rLR4BADrBteE5pbG96blczWEU","5925")</f>
        <v>5925</v>
      </c>
      <c r="K231" s="133" t="str">
        <f>HYPERLINK("https://drive.google.com/drive/folders/0BwQ57SNHxB3BbHBWZGhwSWlkNW8","5925")</f>
        <v>5925</v>
      </c>
      <c r="L231" s="134"/>
      <c r="M231" s="46"/>
      <c r="N231" s="126"/>
      <c r="O231" s="126"/>
      <c r="P231" s="126"/>
      <c r="Q231" s="126"/>
      <c r="R231" s="126"/>
      <c r="S231" s="126"/>
      <c r="T231" s="135">
        <v>15</v>
      </c>
      <c r="U231" s="135">
        <f>E231+T231-2+2500</f>
        <v>2567</v>
      </c>
      <c r="V231" s="129" t="str">
        <f t="shared" si="27"/>
        <v>59</v>
      </c>
      <c r="W231" s="121">
        <f t="shared" si="35"/>
        <v>2</v>
      </c>
      <c r="X231" s="121"/>
      <c r="Y231" s="121"/>
      <c r="Z231" s="121"/>
      <c r="AA231" s="121"/>
    </row>
    <row r="232" spans="1:27" ht="18.75">
      <c r="A232" s="118"/>
      <c r="B232" s="117">
        <v>6100</v>
      </c>
      <c r="C232" s="117"/>
      <c r="D232" s="117" t="str">
        <f>"พัสดุ"&amp; VLOOKUP(V232,'เลขSpec.2 ตัวแรก'!$A$2:$B$100,2,FALSE)&amp; " จำนวน "&amp;W232&amp;" รายการ"</f>
        <v>พัสดุหมวด 61 สายไฟฟ้าและบริภัณฑ์ทำไฟฟ้าและจ่ายกระแสไฟฟ้า จำนวน 43 รายการ</v>
      </c>
      <c r="E232" s="117"/>
      <c r="F232" s="117"/>
      <c r="G232" s="119"/>
      <c r="H232" s="119"/>
      <c r="I232" s="119"/>
      <c r="J232" s="117"/>
      <c r="K232" s="117"/>
      <c r="L232" s="117"/>
      <c r="M232" s="118"/>
      <c r="N232" s="117"/>
      <c r="O232" s="117"/>
      <c r="P232" s="117"/>
      <c r="Q232" s="117"/>
      <c r="R232" s="117"/>
      <c r="S232" s="119"/>
      <c r="T232" s="119"/>
      <c r="U232" s="119"/>
      <c r="V232" s="117" t="str">
        <f t="shared" si="27"/>
        <v>61</v>
      </c>
      <c r="W232" s="117">
        <f t="shared" si="35"/>
        <v>43</v>
      </c>
      <c r="X232" s="117"/>
      <c r="Y232" s="24"/>
      <c r="Z232" s="24"/>
      <c r="AA232" s="24"/>
    </row>
    <row r="233" spans="1:27" ht="37.5">
      <c r="A233" s="88"/>
      <c r="B233" s="121">
        <v>6110</v>
      </c>
      <c r="C233" s="121" t="s">
        <v>37</v>
      </c>
      <c r="D233" s="88" t="s">
        <v>1051</v>
      </c>
      <c r="E233" s="121">
        <v>53</v>
      </c>
      <c r="F233" s="46" t="s">
        <v>1052</v>
      </c>
      <c r="G233" s="26" t="s">
        <v>78</v>
      </c>
      <c r="H233" s="122">
        <v>350000</v>
      </c>
      <c r="I233" s="123"/>
      <c r="J233" s="130" t="str">
        <f>HYPERLINK("https://drive.google.com/open?id=0B2vBTVEfSzItamdLa0JXTHpQRnc","6110")</f>
        <v>6110</v>
      </c>
      <c r="K233" s="132" t="str">
        <f t="shared" ref="K233:K239" si="36">HYPERLINK("https://drive.google.com/drive/folders/0BwQ57SNHxB3BNzVuN3hRRndNODQ","6110")</f>
        <v>6110</v>
      </c>
      <c r="L233" s="125"/>
      <c r="M233" s="46"/>
      <c r="N233" s="126"/>
      <c r="O233" s="126"/>
      <c r="P233" s="126"/>
      <c r="Q233" s="126"/>
      <c r="R233" s="126"/>
      <c r="S233" s="126"/>
      <c r="T233" s="128">
        <v>15</v>
      </c>
      <c r="U233" s="128">
        <f t="shared" ref="U233:U239" si="37">E233+T233-2+2500</f>
        <v>2566</v>
      </c>
      <c r="V233" s="129" t="str">
        <f t="shared" si="27"/>
        <v>61</v>
      </c>
      <c r="W233" s="121">
        <f t="shared" si="35"/>
        <v>43</v>
      </c>
      <c r="X233" s="121"/>
      <c r="Y233" s="121"/>
      <c r="Z233" s="121"/>
      <c r="AA233" s="121"/>
    </row>
    <row r="234" spans="1:27" ht="37.5">
      <c r="A234" s="88"/>
      <c r="B234" s="121">
        <v>6110</v>
      </c>
      <c r="C234" s="121" t="s">
        <v>37</v>
      </c>
      <c r="D234" s="88" t="s">
        <v>1053</v>
      </c>
      <c r="E234" s="121">
        <v>53</v>
      </c>
      <c r="F234" s="46" t="s">
        <v>1054</v>
      </c>
      <c r="G234" s="26" t="s">
        <v>78</v>
      </c>
      <c r="H234" s="122">
        <v>738000</v>
      </c>
      <c r="I234" s="123"/>
      <c r="J234" s="130" t="str">
        <f>HYPERLINK("https://drive.google.com/open?id=0B2rLR4BADrBtZUVZRnRoX2V4R0E","6110")</f>
        <v>6110</v>
      </c>
      <c r="K234" s="132" t="str">
        <f t="shared" si="36"/>
        <v>6110</v>
      </c>
      <c r="L234" s="125"/>
      <c r="M234" s="46"/>
      <c r="N234" s="126"/>
      <c r="O234" s="126"/>
      <c r="P234" s="126"/>
      <c r="Q234" s="126"/>
      <c r="R234" s="126"/>
      <c r="S234" s="126"/>
      <c r="T234" s="128">
        <v>15</v>
      </c>
      <c r="U234" s="128">
        <f t="shared" si="37"/>
        <v>2566</v>
      </c>
      <c r="V234" s="129" t="str">
        <f t="shared" si="27"/>
        <v>61</v>
      </c>
      <c r="W234" s="121">
        <f t="shared" si="35"/>
        <v>43</v>
      </c>
      <c r="X234" s="121"/>
      <c r="Y234" s="121"/>
      <c r="Z234" s="121"/>
      <c r="AA234" s="121"/>
    </row>
    <row r="235" spans="1:27" ht="37.5">
      <c r="A235" s="88"/>
      <c r="B235" s="121">
        <v>6110</v>
      </c>
      <c r="C235" s="121" t="s">
        <v>37</v>
      </c>
      <c r="D235" s="88" t="s">
        <v>1055</v>
      </c>
      <c r="E235" s="121">
        <v>58</v>
      </c>
      <c r="F235" s="46" t="s">
        <v>1056</v>
      </c>
      <c r="G235" s="26" t="s">
        <v>78</v>
      </c>
      <c r="H235" s="122">
        <v>180000</v>
      </c>
      <c r="I235" s="123"/>
      <c r="J235" s="130" t="str">
        <f>HYPERLINK("https://drive.google.com/open?id=0B2vBTVEfSzItS214N3k5NzlyZjA","6110")</f>
        <v>6110</v>
      </c>
      <c r="K235" s="132" t="str">
        <f t="shared" si="36"/>
        <v>6110</v>
      </c>
      <c r="L235" s="125"/>
      <c r="M235" s="46"/>
      <c r="N235" s="126"/>
      <c r="O235" s="126"/>
      <c r="P235" s="126"/>
      <c r="Q235" s="126"/>
      <c r="R235" s="126"/>
      <c r="S235" s="126"/>
      <c r="T235" s="128">
        <v>15</v>
      </c>
      <c r="U235" s="128">
        <f t="shared" si="37"/>
        <v>2571</v>
      </c>
      <c r="V235" s="129" t="str">
        <f t="shared" si="27"/>
        <v>61</v>
      </c>
      <c r="W235" s="121">
        <f t="shared" si="35"/>
        <v>43</v>
      </c>
      <c r="X235" s="121"/>
      <c r="Y235" s="121"/>
      <c r="Z235" s="121"/>
      <c r="AA235" s="121"/>
    </row>
    <row r="236" spans="1:27" ht="37.5">
      <c r="A236" s="88"/>
      <c r="B236" s="121">
        <v>6110</v>
      </c>
      <c r="C236" s="121" t="s">
        <v>37</v>
      </c>
      <c r="D236" s="88" t="s">
        <v>1057</v>
      </c>
      <c r="E236" s="121">
        <v>58</v>
      </c>
      <c r="F236" s="46" t="s">
        <v>1058</v>
      </c>
      <c r="G236" s="26" t="s">
        <v>78</v>
      </c>
      <c r="H236" s="122">
        <v>450000</v>
      </c>
      <c r="I236" s="123"/>
      <c r="J236" s="130" t="str">
        <f>HYPERLINK("https://drive.google.com/open?id=0B2vBTVEfSzItZ00yZ3FkakF4TXc","6110")</f>
        <v>6110</v>
      </c>
      <c r="K236" s="132" t="str">
        <f t="shared" si="36"/>
        <v>6110</v>
      </c>
      <c r="L236" s="125"/>
      <c r="M236" s="46"/>
      <c r="N236" s="126"/>
      <c r="O236" s="126"/>
      <c r="P236" s="126"/>
      <c r="Q236" s="126"/>
      <c r="R236" s="126"/>
      <c r="S236" s="126"/>
      <c r="T236" s="128">
        <v>15</v>
      </c>
      <c r="U236" s="128">
        <f t="shared" si="37"/>
        <v>2571</v>
      </c>
      <c r="V236" s="129" t="str">
        <f t="shared" si="27"/>
        <v>61</v>
      </c>
      <c r="W236" s="121">
        <f t="shared" si="35"/>
        <v>43</v>
      </c>
      <c r="X236" s="121"/>
      <c r="Y236" s="121"/>
      <c r="Z236" s="121"/>
      <c r="AA236" s="121"/>
    </row>
    <row r="237" spans="1:27" ht="37.5">
      <c r="A237" s="88"/>
      <c r="B237" s="121">
        <v>6110</v>
      </c>
      <c r="C237" s="121" t="s">
        <v>37</v>
      </c>
      <c r="D237" s="88" t="s">
        <v>1059</v>
      </c>
      <c r="E237" s="121">
        <v>58</v>
      </c>
      <c r="F237" s="46" t="s">
        <v>1060</v>
      </c>
      <c r="G237" s="26" t="s">
        <v>78</v>
      </c>
      <c r="H237" s="122">
        <v>350000</v>
      </c>
      <c r="I237" s="123"/>
      <c r="J237" s="130" t="str">
        <f>HYPERLINK("https://drive.google.com/open?id=0B2vBTVEfSzItQ21nRC1zNFpLZDQ","6110")</f>
        <v>6110</v>
      </c>
      <c r="K237" s="132" t="str">
        <f t="shared" si="36"/>
        <v>6110</v>
      </c>
      <c r="L237" s="125"/>
      <c r="M237" s="46"/>
      <c r="N237" s="126"/>
      <c r="O237" s="126"/>
      <c r="P237" s="126"/>
      <c r="Q237" s="126"/>
      <c r="R237" s="126"/>
      <c r="S237" s="126"/>
      <c r="T237" s="128">
        <v>15</v>
      </c>
      <c r="U237" s="128">
        <f t="shared" si="37"/>
        <v>2571</v>
      </c>
      <c r="V237" s="129" t="str">
        <f t="shared" si="27"/>
        <v>61</v>
      </c>
      <c r="W237" s="121">
        <f t="shared" si="35"/>
        <v>43</v>
      </c>
      <c r="X237" s="121"/>
      <c r="Y237" s="121"/>
      <c r="Z237" s="121"/>
      <c r="AA237" s="121"/>
    </row>
    <row r="238" spans="1:27" ht="37.5">
      <c r="A238" s="88"/>
      <c r="B238" s="121">
        <v>6110</v>
      </c>
      <c r="C238" s="121" t="s">
        <v>37</v>
      </c>
      <c r="D238" s="88" t="s">
        <v>1061</v>
      </c>
      <c r="E238" s="121">
        <v>58</v>
      </c>
      <c r="F238" s="46" t="s">
        <v>1062</v>
      </c>
      <c r="G238" s="26" t="s">
        <v>78</v>
      </c>
      <c r="H238" s="122">
        <v>300000</v>
      </c>
      <c r="I238" s="123"/>
      <c r="J238" s="130" t="str">
        <f>HYPERLINK("https://drive.google.com/open?id=0B2vBTVEfSzItLWt0UlJQQVAyM00","6110")</f>
        <v>6110</v>
      </c>
      <c r="K238" s="132" t="str">
        <f t="shared" si="36"/>
        <v>6110</v>
      </c>
      <c r="L238" s="125"/>
      <c r="M238" s="46"/>
      <c r="N238" s="126"/>
      <c r="O238" s="126"/>
      <c r="P238" s="126"/>
      <c r="Q238" s="126"/>
      <c r="R238" s="126"/>
      <c r="S238" s="126"/>
      <c r="T238" s="128">
        <v>15</v>
      </c>
      <c r="U238" s="128">
        <f t="shared" si="37"/>
        <v>2571</v>
      </c>
      <c r="V238" s="129" t="str">
        <f t="shared" si="27"/>
        <v>61</v>
      </c>
      <c r="W238" s="121">
        <f t="shared" si="35"/>
        <v>43</v>
      </c>
      <c r="X238" s="121"/>
      <c r="Y238" s="121"/>
      <c r="Z238" s="121"/>
      <c r="AA238" s="121"/>
    </row>
    <row r="239" spans="1:27" ht="37.5">
      <c r="A239" s="88"/>
      <c r="B239" s="121">
        <v>6110</v>
      </c>
      <c r="C239" s="121" t="s">
        <v>37</v>
      </c>
      <c r="D239" s="88" t="s">
        <v>1063</v>
      </c>
      <c r="E239" s="121">
        <v>58</v>
      </c>
      <c r="F239" s="46" t="s">
        <v>1064</v>
      </c>
      <c r="G239" s="26" t="s">
        <v>78</v>
      </c>
      <c r="H239" s="122">
        <v>450000</v>
      </c>
      <c r="I239" s="123"/>
      <c r="J239" s="130" t="str">
        <f>HYPERLINK("https://drive.google.com/open?id=0B2vBTVEfSzItdnBNNmhGS21McHc","6110")</f>
        <v>6110</v>
      </c>
      <c r="K239" s="132" t="str">
        <f t="shared" si="36"/>
        <v>6110</v>
      </c>
      <c r="L239" s="125"/>
      <c r="M239" s="46"/>
      <c r="N239" s="126"/>
      <c r="O239" s="126"/>
      <c r="P239" s="126"/>
      <c r="Q239" s="126"/>
      <c r="R239" s="126"/>
      <c r="S239" s="126"/>
      <c r="T239" s="128">
        <v>15</v>
      </c>
      <c r="U239" s="128">
        <f t="shared" si="37"/>
        <v>2571</v>
      </c>
      <c r="V239" s="129" t="str">
        <f t="shared" si="27"/>
        <v>61</v>
      </c>
      <c r="W239" s="121">
        <f t="shared" si="35"/>
        <v>43</v>
      </c>
      <c r="X239" s="121"/>
      <c r="Y239" s="121"/>
      <c r="Z239" s="121"/>
      <c r="AA239" s="121"/>
    </row>
    <row r="240" spans="1:27" ht="18.75">
      <c r="A240" s="88"/>
      <c r="B240" s="121">
        <v>6110</v>
      </c>
      <c r="C240" s="121" t="s">
        <v>37</v>
      </c>
      <c r="D240" s="88" t="s">
        <v>1065</v>
      </c>
      <c r="E240" s="121">
        <v>61</v>
      </c>
      <c r="F240" s="46" t="s">
        <v>1066</v>
      </c>
      <c r="G240" s="26" t="s">
        <v>78</v>
      </c>
      <c r="H240" s="122">
        <v>1500000</v>
      </c>
      <c r="I240" s="123"/>
      <c r="J240" s="130" t="str">
        <f>HYPERLINK("https://drive.google.com/open?id=1mR2LuVdrUUEGanGBuqTR9oFlm2GfBDS7","6110")</f>
        <v>6110</v>
      </c>
      <c r="K240" s="125"/>
      <c r="L240" s="125"/>
      <c r="M240" s="46"/>
      <c r="N240" s="126"/>
      <c r="O240" s="126"/>
      <c r="P240" s="126"/>
      <c r="Q240" s="126"/>
      <c r="R240" s="126"/>
      <c r="S240" s="126"/>
      <c r="T240" s="128"/>
      <c r="U240" s="128"/>
      <c r="V240" s="129" t="str">
        <f t="shared" si="27"/>
        <v>61</v>
      </c>
      <c r="W240" s="121">
        <f t="shared" si="35"/>
        <v>43</v>
      </c>
      <c r="X240" s="121"/>
      <c r="Y240" s="121"/>
      <c r="Z240" s="121"/>
      <c r="AA240" s="121"/>
    </row>
    <row r="241" spans="1:27" ht="18.75">
      <c r="A241" s="88"/>
      <c r="B241" s="121">
        <v>6110</v>
      </c>
      <c r="C241" s="121" t="s">
        <v>37</v>
      </c>
      <c r="D241" s="88" t="s">
        <v>1067</v>
      </c>
      <c r="E241" s="121">
        <v>59</v>
      </c>
      <c r="F241" s="46" t="s">
        <v>1068</v>
      </c>
      <c r="G241" s="26" t="s">
        <v>78</v>
      </c>
      <c r="H241" s="122">
        <v>800000</v>
      </c>
      <c r="I241" s="123"/>
      <c r="J241" s="130" t="str">
        <f>HYPERLINK("https://drive.google.com/open?id=0B2vBTVEfSzItTUdNaTdXenY0cVU","6110")</f>
        <v>6110</v>
      </c>
      <c r="K241" s="125"/>
      <c r="L241" s="125"/>
      <c r="M241" s="46"/>
      <c r="N241" s="126"/>
      <c r="O241" s="126"/>
      <c r="P241" s="126"/>
      <c r="Q241" s="126"/>
      <c r="R241" s="126"/>
      <c r="S241" s="126"/>
      <c r="T241" s="128"/>
      <c r="U241" s="128">
        <f t="shared" ref="U241:U257" si="38">E241+T241-2+2500</f>
        <v>2557</v>
      </c>
      <c r="V241" s="129" t="str">
        <f t="shared" si="27"/>
        <v>61</v>
      </c>
      <c r="W241" s="121">
        <f t="shared" si="35"/>
        <v>43</v>
      </c>
      <c r="X241" s="121"/>
      <c r="Y241" s="121"/>
      <c r="Z241" s="121"/>
      <c r="AA241" s="121"/>
    </row>
    <row r="242" spans="1:27" ht="18.75">
      <c r="A242" s="88"/>
      <c r="B242" s="121">
        <v>6110</v>
      </c>
      <c r="C242" s="121" t="s">
        <v>37</v>
      </c>
      <c r="D242" s="88" t="s">
        <v>1069</v>
      </c>
      <c r="E242" s="121">
        <v>60</v>
      </c>
      <c r="F242" s="46" t="s">
        <v>1070</v>
      </c>
      <c r="G242" s="26" t="s">
        <v>78</v>
      </c>
      <c r="H242" s="122">
        <v>1200000</v>
      </c>
      <c r="I242" s="123"/>
      <c r="J242" s="130" t="str">
        <f>HYPERLINK("https://drive.google.com/open?id=0B2vBTVEfSzItTlVPM3o5OVNEdHM","6110")</f>
        <v>6110</v>
      </c>
      <c r="K242" s="125"/>
      <c r="L242" s="125"/>
      <c r="M242" s="46"/>
      <c r="N242" s="126"/>
      <c r="O242" s="126"/>
      <c r="P242" s="126"/>
      <c r="Q242" s="126"/>
      <c r="R242" s="126"/>
      <c r="S242" s="126"/>
      <c r="T242" s="128"/>
      <c r="U242" s="128">
        <f t="shared" si="38"/>
        <v>2558</v>
      </c>
      <c r="V242" s="129" t="str">
        <f t="shared" si="27"/>
        <v>61</v>
      </c>
      <c r="W242" s="121">
        <f t="shared" si="35"/>
        <v>43</v>
      </c>
      <c r="X242" s="121"/>
      <c r="Y242" s="121"/>
      <c r="Z242" s="121"/>
      <c r="AA242" s="121"/>
    </row>
    <row r="243" spans="1:27" ht="18.75">
      <c r="A243" s="88"/>
      <c r="B243" s="121">
        <v>6110</v>
      </c>
      <c r="C243" s="121" t="s">
        <v>37</v>
      </c>
      <c r="D243" s="88" t="s">
        <v>1071</v>
      </c>
      <c r="E243" s="121">
        <v>56</v>
      </c>
      <c r="F243" s="46" t="s">
        <v>1072</v>
      </c>
      <c r="G243" s="26" t="s">
        <v>78</v>
      </c>
      <c r="H243" s="122">
        <v>1500000</v>
      </c>
      <c r="I243" s="123"/>
      <c r="J243" s="130" t="str">
        <f>HYPERLINK("https://drive.google.com/open?id=0B2rLR4BADrBtalpfa1dsSFhhR1U","6110")</f>
        <v>6110</v>
      </c>
      <c r="K243" s="132" t="str">
        <f>HYPERLINK("https://drive.google.com/drive/folders/0BwQ57SNHxB3BNzVuN3hRRndNODQ","6110")</f>
        <v>6110</v>
      </c>
      <c r="L243" s="125"/>
      <c r="M243" s="46"/>
      <c r="N243" s="126"/>
      <c r="O243" s="126"/>
      <c r="P243" s="126"/>
      <c r="Q243" s="126"/>
      <c r="R243" s="126"/>
      <c r="S243" s="126"/>
      <c r="T243" s="128">
        <v>15</v>
      </c>
      <c r="U243" s="128">
        <f t="shared" si="38"/>
        <v>2569</v>
      </c>
      <c r="V243" s="129" t="str">
        <f t="shared" si="27"/>
        <v>61</v>
      </c>
      <c r="W243" s="121">
        <f t="shared" si="35"/>
        <v>43</v>
      </c>
      <c r="X243" s="121"/>
      <c r="Y243" s="121"/>
      <c r="Z243" s="121"/>
      <c r="AA243" s="121"/>
    </row>
    <row r="244" spans="1:27" ht="18.75">
      <c r="A244" s="88"/>
      <c r="B244" s="121">
        <v>6110</v>
      </c>
      <c r="C244" s="121" t="s">
        <v>37</v>
      </c>
      <c r="D244" s="88" t="s">
        <v>1073</v>
      </c>
      <c r="E244" s="121">
        <v>55</v>
      </c>
      <c r="F244" s="46" t="s">
        <v>1074</v>
      </c>
      <c r="G244" s="26" t="s">
        <v>78</v>
      </c>
      <c r="H244" s="122">
        <v>1350000</v>
      </c>
      <c r="I244" s="123"/>
      <c r="J244" s="130" t="str">
        <f>HYPERLINK("https://drive.google.com/open?id=0B2rLR4BADrBtRjJrdnpLUEVKc2c","6110")</f>
        <v>6110</v>
      </c>
      <c r="K244" s="132" t="str">
        <f>HYPERLINK("https://drive.google.com/drive/folders/0BwQ57SNHxB3BNzVuN3hRRndNODQ","6110")</f>
        <v>6110</v>
      </c>
      <c r="L244" s="125"/>
      <c r="M244" s="46"/>
      <c r="N244" s="126"/>
      <c r="O244" s="126"/>
      <c r="P244" s="126"/>
      <c r="Q244" s="126"/>
      <c r="R244" s="126"/>
      <c r="S244" s="126"/>
      <c r="T244" s="128">
        <v>15</v>
      </c>
      <c r="U244" s="128">
        <f t="shared" si="38"/>
        <v>2568</v>
      </c>
      <c r="V244" s="129" t="str">
        <f t="shared" si="27"/>
        <v>61</v>
      </c>
      <c r="W244" s="121">
        <f t="shared" si="35"/>
        <v>43</v>
      </c>
      <c r="X244" s="121"/>
      <c r="Y244" s="121"/>
      <c r="Z244" s="121"/>
      <c r="AA244" s="121"/>
    </row>
    <row r="245" spans="1:27" ht="18.75">
      <c r="A245" s="88"/>
      <c r="B245" s="121">
        <v>6110</v>
      </c>
      <c r="C245" s="121" t="s">
        <v>37</v>
      </c>
      <c r="D245" s="88" t="s">
        <v>1075</v>
      </c>
      <c r="E245" s="121">
        <v>57</v>
      </c>
      <c r="F245" s="46" t="s">
        <v>1076</v>
      </c>
      <c r="G245" s="26" t="s">
        <v>78</v>
      </c>
      <c r="H245" s="122">
        <v>1050000</v>
      </c>
      <c r="I245" s="123"/>
      <c r="J245" s="130" t="str">
        <f>HYPERLINK("https://drive.google.com/open?id=0B2rLR4BADrBtdldDOFRoN1IzdmM","6110")</f>
        <v>6110</v>
      </c>
      <c r="K245" s="132" t="str">
        <f>HYPERLINK("https://drive.google.com/drive/folders/0BwQ57SNHxB3BNzVuN3hRRndNODQ","6110")</f>
        <v>6110</v>
      </c>
      <c r="L245" s="125"/>
      <c r="M245" s="46"/>
      <c r="N245" s="126"/>
      <c r="O245" s="126"/>
      <c r="P245" s="126"/>
      <c r="Q245" s="126"/>
      <c r="R245" s="126"/>
      <c r="S245" s="126"/>
      <c r="T245" s="128">
        <v>15</v>
      </c>
      <c r="U245" s="128">
        <f t="shared" si="38"/>
        <v>2570</v>
      </c>
      <c r="V245" s="129" t="str">
        <f t="shared" si="27"/>
        <v>61</v>
      </c>
      <c r="W245" s="121">
        <f t="shared" si="35"/>
        <v>43</v>
      </c>
      <c r="X245" s="121"/>
      <c r="Y245" s="121"/>
      <c r="Z245" s="121"/>
      <c r="AA245" s="121"/>
    </row>
    <row r="246" spans="1:27" ht="18.75">
      <c r="A246" s="88"/>
      <c r="B246" s="121">
        <v>6115</v>
      </c>
      <c r="C246" s="121" t="s">
        <v>37</v>
      </c>
      <c r="D246" s="88" t="s">
        <v>1077</v>
      </c>
      <c r="E246" s="121">
        <v>58</v>
      </c>
      <c r="F246" s="46" t="s">
        <v>1078</v>
      </c>
      <c r="G246" s="26" t="s">
        <v>78</v>
      </c>
      <c r="H246" s="122">
        <v>260000</v>
      </c>
      <c r="I246" s="123"/>
      <c r="J246" s="130" t="str">
        <f>HYPERLINK("https://drive.google.com/open?id=0B2vBTVEfSzItYlptUWU5T0FUdnM","6115")</f>
        <v>6115</v>
      </c>
      <c r="K246" s="132" t="str">
        <f>HYPERLINK("https://drive.google.com/drive/folders/0BwN2QqBc2z4QfjhLT3VXcmMxTVZyVWNMWTc0MkJJMlU0UnB3eTljcl95NlNudVl0U21IdkU","6115")</f>
        <v>6115</v>
      </c>
      <c r="L246" s="125"/>
      <c r="M246" s="46"/>
      <c r="N246" s="126"/>
      <c r="O246" s="126"/>
      <c r="P246" s="126"/>
      <c r="Q246" s="126"/>
      <c r="R246" s="126"/>
      <c r="S246" s="126"/>
      <c r="T246" s="128" t="s">
        <v>1079</v>
      </c>
      <c r="U246" s="128">
        <f t="shared" si="38"/>
        <v>2571</v>
      </c>
      <c r="V246" s="129" t="str">
        <f t="shared" si="27"/>
        <v>61</v>
      </c>
      <c r="W246" s="121">
        <f t="shared" si="35"/>
        <v>43</v>
      </c>
      <c r="X246" s="121"/>
      <c r="Y246" s="121"/>
      <c r="Z246" s="121"/>
      <c r="AA246" s="121"/>
    </row>
    <row r="247" spans="1:27" ht="18.75">
      <c r="A247" s="88"/>
      <c r="B247" s="121">
        <v>6115</v>
      </c>
      <c r="C247" s="121" t="s">
        <v>37</v>
      </c>
      <c r="D247" s="88" t="s">
        <v>1080</v>
      </c>
      <c r="E247" s="121">
        <v>60</v>
      </c>
      <c r="F247" s="46" t="s">
        <v>782</v>
      </c>
      <c r="G247" s="26" t="s">
        <v>78</v>
      </c>
      <c r="H247" s="122">
        <v>670000</v>
      </c>
      <c r="I247" s="123"/>
      <c r="J247" s="130" t="str">
        <f>HYPERLINK("https://drive.google.com/open?id=0B2vBTVEfSzItX1JRWXNfVFlVNWM","6115")</f>
        <v>6115</v>
      </c>
      <c r="K247" s="125"/>
      <c r="L247" s="125"/>
      <c r="M247" s="151"/>
      <c r="N247" s="126"/>
      <c r="O247" s="126"/>
      <c r="P247" s="126"/>
      <c r="Q247" s="126"/>
      <c r="R247" s="126"/>
      <c r="S247" s="126"/>
      <c r="T247" s="135"/>
      <c r="U247" s="135">
        <f t="shared" si="38"/>
        <v>2558</v>
      </c>
      <c r="V247" s="129" t="str">
        <f t="shared" si="27"/>
        <v>61</v>
      </c>
      <c r="W247" s="121">
        <f t="shared" si="35"/>
        <v>43</v>
      </c>
      <c r="X247" s="121"/>
      <c r="Y247" s="121"/>
      <c r="Z247" s="121"/>
      <c r="AA247" s="121"/>
    </row>
    <row r="248" spans="1:27" ht="18.75">
      <c r="A248" s="88"/>
      <c r="B248" s="121">
        <v>6115</v>
      </c>
      <c r="C248" s="121" t="s">
        <v>37</v>
      </c>
      <c r="D248" s="88" t="s">
        <v>1083</v>
      </c>
      <c r="E248" s="121">
        <v>60</v>
      </c>
      <c r="F248" s="46" t="s">
        <v>1084</v>
      </c>
      <c r="G248" s="26" t="s">
        <v>78</v>
      </c>
      <c r="H248" s="122">
        <v>758000</v>
      </c>
      <c r="I248" s="123"/>
      <c r="J248" s="130" t="str">
        <f>HYPERLINK("https://drive.google.com/open?id=1VngUl0Ddd7G79_KUaHTTWtJTK5RpKCtQ","6115")</f>
        <v>6115</v>
      </c>
      <c r="K248" s="125"/>
      <c r="L248" s="125"/>
      <c r="M248" s="46"/>
      <c r="N248" s="126"/>
      <c r="O248" s="126"/>
      <c r="P248" s="126"/>
      <c r="Q248" s="126"/>
      <c r="R248" s="126"/>
      <c r="S248" s="126"/>
      <c r="T248" s="135"/>
      <c r="U248" s="135">
        <f t="shared" si="38"/>
        <v>2558</v>
      </c>
      <c r="V248" s="129" t="str">
        <f t="shared" si="27"/>
        <v>61</v>
      </c>
      <c r="W248" s="121">
        <f t="shared" si="35"/>
        <v>43</v>
      </c>
      <c r="X248" s="121"/>
      <c r="Y248" s="121"/>
      <c r="Z248" s="121"/>
      <c r="AA248" s="121"/>
    </row>
    <row r="249" spans="1:27" ht="18.75">
      <c r="A249" s="88"/>
      <c r="B249" s="121">
        <v>6115</v>
      </c>
      <c r="C249" s="121" t="s">
        <v>37</v>
      </c>
      <c r="D249" s="88" t="s">
        <v>1085</v>
      </c>
      <c r="E249" s="121">
        <v>54</v>
      </c>
      <c r="F249" s="46" t="s">
        <v>1086</v>
      </c>
      <c r="G249" s="26" t="s">
        <v>78</v>
      </c>
      <c r="H249" s="122">
        <v>150000</v>
      </c>
      <c r="I249" s="123"/>
      <c r="J249" s="130" t="str">
        <f>HYPERLINK("https://drive.google.com/open?id=0B2rLR4BADrBtdXhSSk1mTHZIbGs","6115")</f>
        <v>6115</v>
      </c>
      <c r="K249" s="132" t="str">
        <f t="shared" ref="K249:K257" si="39">HYPERLINK("https://drive.google.com/drive/folders/0BwN2QqBc2z4QfjhLT3VXcmMxTVZyVWNMWTc0MkJJMlU0UnB3eTljcl95NlNudVl0U21IdkU","6115")</f>
        <v>6115</v>
      </c>
      <c r="L249" s="125"/>
      <c r="M249" s="46"/>
      <c r="N249" s="126"/>
      <c r="O249" s="126"/>
      <c r="P249" s="126"/>
      <c r="Q249" s="126"/>
      <c r="R249" s="126"/>
      <c r="S249" s="126"/>
      <c r="T249" s="135">
        <v>15</v>
      </c>
      <c r="U249" s="135">
        <f t="shared" si="38"/>
        <v>2567</v>
      </c>
      <c r="V249" s="129" t="str">
        <f t="shared" si="27"/>
        <v>61</v>
      </c>
      <c r="W249" s="121">
        <f t="shared" si="35"/>
        <v>43</v>
      </c>
      <c r="X249" s="121"/>
      <c r="Y249" s="121"/>
      <c r="Z249" s="121"/>
      <c r="AA249" s="121"/>
    </row>
    <row r="250" spans="1:27" ht="18.75">
      <c r="A250" s="88"/>
      <c r="B250" s="121">
        <v>6115</v>
      </c>
      <c r="C250" s="121" t="s">
        <v>37</v>
      </c>
      <c r="D250" s="88" t="s">
        <v>1088</v>
      </c>
      <c r="E250" s="121">
        <v>57</v>
      </c>
      <c r="F250" s="46" t="s">
        <v>1089</v>
      </c>
      <c r="G250" s="26" t="s">
        <v>78</v>
      </c>
      <c r="H250" s="122">
        <v>13000</v>
      </c>
      <c r="I250" s="123"/>
      <c r="J250" s="130" t="str">
        <f>HYPERLINK("https://drive.google.com/open?id=0B2rLR4BADrBtTjlFZ19JYzdLMWc","6115")</f>
        <v>6115</v>
      </c>
      <c r="K250" s="132" t="str">
        <f t="shared" si="39"/>
        <v>6115</v>
      </c>
      <c r="L250" s="125"/>
      <c r="M250" s="46"/>
      <c r="N250" s="126"/>
      <c r="O250" s="126"/>
      <c r="P250" s="126"/>
      <c r="Q250" s="126"/>
      <c r="R250" s="126"/>
      <c r="S250" s="126"/>
      <c r="T250" s="135">
        <v>15</v>
      </c>
      <c r="U250" s="135">
        <f t="shared" si="38"/>
        <v>2570</v>
      </c>
      <c r="V250" s="129" t="str">
        <f t="shared" si="27"/>
        <v>61</v>
      </c>
      <c r="W250" s="121">
        <f t="shared" si="35"/>
        <v>43</v>
      </c>
      <c r="X250" s="121"/>
      <c r="Y250" s="121"/>
      <c r="Z250" s="121"/>
      <c r="AA250" s="121"/>
    </row>
    <row r="251" spans="1:27" ht="18.75">
      <c r="A251" s="88"/>
      <c r="B251" s="121">
        <v>6115</v>
      </c>
      <c r="C251" s="121" t="s">
        <v>37</v>
      </c>
      <c r="D251" s="88" t="s">
        <v>1090</v>
      </c>
      <c r="E251" s="121">
        <v>58</v>
      </c>
      <c r="F251" s="46" t="s">
        <v>1091</v>
      </c>
      <c r="G251" s="26" t="s">
        <v>78</v>
      </c>
      <c r="H251" s="122">
        <v>1400000</v>
      </c>
      <c r="I251" s="123"/>
      <c r="J251" s="130" t="str">
        <f>HYPERLINK("https://drive.google.com/open?id=0B2vBTVEfSzItMFRyck9kX250VUk","6115")</f>
        <v>6115</v>
      </c>
      <c r="K251" s="132" t="str">
        <f t="shared" si="39"/>
        <v>6115</v>
      </c>
      <c r="L251" s="125"/>
      <c r="M251" s="46"/>
      <c r="N251" s="126"/>
      <c r="O251" s="126"/>
      <c r="P251" s="126"/>
      <c r="Q251" s="126"/>
      <c r="R251" s="126"/>
      <c r="S251" s="126"/>
      <c r="T251" s="128">
        <v>15</v>
      </c>
      <c r="U251" s="128">
        <f t="shared" si="38"/>
        <v>2571</v>
      </c>
      <c r="V251" s="129" t="str">
        <f t="shared" si="27"/>
        <v>61</v>
      </c>
      <c r="W251" s="121">
        <f t="shared" si="35"/>
        <v>43</v>
      </c>
      <c r="X251" s="121"/>
      <c r="Y251" s="121"/>
      <c r="Z251" s="121"/>
      <c r="AA251" s="121"/>
    </row>
    <row r="252" spans="1:27" ht="37.5">
      <c r="A252" s="88"/>
      <c r="B252" s="121">
        <v>6115</v>
      </c>
      <c r="C252" s="121" t="s">
        <v>37</v>
      </c>
      <c r="D252" s="88" t="s">
        <v>1092</v>
      </c>
      <c r="E252" s="121">
        <v>58</v>
      </c>
      <c r="F252" s="46" t="s">
        <v>1093</v>
      </c>
      <c r="G252" s="26" t="s">
        <v>78</v>
      </c>
      <c r="H252" s="122" t="s">
        <v>1094</v>
      </c>
      <c r="I252" s="123"/>
      <c r="J252" s="130" t="str">
        <f>HYPERLINK("https://drive.google.com/open?id=0B2vBTVEfSzItNHc5cnc0MTdiNXc","6115")</f>
        <v>6115</v>
      </c>
      <c r="K252" s="132" t="str">
        <f t="shared" si="39"/>
        <v>6115</v>
      </c>
      <c r="L252" s="125"/>
      <c r="M252" s="46"/>
      <c r="N252" s="126"/>
      <c r="O252" s="126"/>
      <c r="P252" s="126"/>
      <c r="Q252" s="126"/>
      <c r="R252" s="126"/>
      <c r="S252" s="126"/>
      <c r="T252" s="135">
        <v>15</v>
      </c>
      <c r="U252" s="135">
        <f t="shared" si="38"/>
        <v>2571</v>
      </c>
      <c r="V252" s="129" t="str">
        <f t="shared" si="27"/>
        <v>61</v>
      </c>
      <c r="W252" s="121">
        <f t="shared" si="35"/>
        <v>43</v>
      </c>
      <c r="X252" s="121"/>
      <c r="Y252" s="121"/>
      <c r="Z252" s="121"/>
      <c r="AA252" s="121"/>
    </row>
    <row r="253" spans="1:27" ht="37.5">
      <c r="A253" s="88"/>
      <c r="B253" s="121">
        <v>6115</v>
      </c>
      <c r="C253" s="121" t="s">
        <v>37</v>
      </c>
      <c r="D253" s="88" t="s">
        <v>1095</v>
      </c>
      <c r="E253" s="121">
        <v>58</v>
      </c>
      <c r="F253" s="46" t="s">
        <v>1096</v>
      </c>
      <c r="G253" s="26" t="s">
        <v>78</v>
      </c>
      <c r="H253" s="122">
        <v>1250000</v>
      </c>
      <c r="I253" s="123"/>
      <c r="J253" s="130" t="str">
        <f>HYPERLINK("https://drive.google.com/open?id=0B2vBTVEfSzItN0hrOUdvTk80bE0","6115")</f>
        <v>6115</v>
      </c>
      <c r="K253" s="132" t="str">
        <f t="shared" si="39"/>
        <v>6115</v>
      </c>
      <c r="L253" s="125"/>
      <c r="M253" s="46"/>
      <c r="N253" s="126"/>
      <c r="O253" s="126"/>
      <c r="P253" s="126"/>
      <c r="Q253" s="126"/>
      <c r="R253" s="126"/>
      <c r="S253" s="126"/>
      <c r="T253" s="135">
        <v>15</v>
      </c>
      <c r="U253" s="135">
        <f t="shared" si="38"/>
        <v>2571</v>
      </c>
      <c r="V253" s="129" t="str">
        <f t="shared" si="27"/>
        <v>61</v>
      </c>
      <c r="W253" s="121">
        <f t="shared" si="35"/>
        <v>43</v>
      </c>
      <c r="X253" s="121"/>
      <c r="Y253" s="121"/>
      <c r="Z253" s="121"/>
      <c r="AA253" s="121"/>
    </row>
    <row r="254" spans="1:27" ht="18.75">
      <c r="A254" s="88"/>
      <c r="B254" s="121">
        <v>6115</v>
      </c>
      <c r="C254" s="121" t="s">
        <v>37</v>
      </c>
      <c r="D254" s="88" t="s">
        <v>1097</v>
      </c>
      <c r="E254" s="121">
        <v>54</v>
      </c>
      <c r="F254" s="46" t="s">
        <v>1098</v>
      </c>
      <c r="G254" s="26" t="s">
        <v>78</v>
      </c>
      <c r="H254" s="122">
        <v>385000</v>
      </c>
      <c r="I254" s="123"/>
      <c r="J254" s="130" t="str">
        <f>HYPERLINK("https://drive.google.com/open?id=0B2rLR4BADrBtVTNTQndxM3g3Vjg","6115")</f>
        <v>6115</v>
      </c>
      <c r="K254" s="132" t="str">
        <f t="shared" si="39"/>
        <v>6115</v>
      </c>
      <c r="L254" s="125"/>
      <c r="M254" s="46"/>
      <c r="N254" s="126"/>
      <c r="O254" s="126"/>
      <c r="P254" s="126"/>
      <c r="Q254" s="126"/>
      <c r="R254" s="126"/>
      <c r="S254" s="126"/>
      <c r="T254" s="128">
        <v>15</v>
      </c>
      <c r="U254" s="128">
        <f t="shared" si="38"/>
        <v>2567</v>
      </c>
      <c r="V254" s="129" t="str">
        <f t="shared" si="27"/>
        <v>61</v>
      </c>
      <c r="W254" s="121">
        <f t="shared" si="35"/>
        <v>43</v>
      </c>
      <c r="X254" s="121"/>
      <c r="Y254" s="121"/>
      <c r="Z254" s="121"/>
      <c r="AA254" s="121"/>
    </row>
    <row r="255" spans="1:27" ht="18.75">
      <c r="A255" s="88"/>
      <c r="B255" s="121">
        <v>6115</v>
      </c>
      <c r="C255" s="121" t="s">
        <v>37</v>
      </c>
      <c r="D255" s="88" t="s">
        <v>1099</v>
      </c>
      <c r="E255" s="121">
        <v>55</v>
      </c>
      <c r="F255" s="46" t="s">
        <v>1100</v>
      </c>
      <c r="G255" s="26" t="s">
        <v>78</v>
      </c>
      <c r="H255" s="122">
        <v>27500</v>
      </c>
      <c r="I255" s="123"/>
      <c r="J255" s="130" t="str">
        <f>HYPERLINK("https://drive.google.com/open?id=0B2rLR4BADrBtTVA0SVE4MUlLdlU","6115")</f>
        <v>6115</v>
      </c>
      <c r="K255" s="132" t="str">
        <f t="shared" si="39"/>
        <v>6115</v>
      </c>
      <c r="L255" s="125"/>
      <c r="M255" s="151"/>
      <c r="N255" s="126"/>
      <c r="O255" s="126"/>
      <c r="P255" s="126"/>
      <c r="Q255" s="126"/>
      <c r="R255" s="126"/>
      <c r="S255" s="126"/>
      <c r="T255" s="128">
        <v>15</v>
      </c>
      <c r="U255" s="128">
        <f t="shared" si="38"/>
        <v>2568</v>
      </c>
      <c r="V255" s="129" t="str">
        <f t="shared" si="27"/>
        <v>61</v>
      </c>
      <c r="W255" s="121">
        <f t="shared" si="35"/>
        <v>43</v>
      </c>
      <c r="X255" s="121"/>
      <c r="Y255" s="121"/>
      <c r="Z255" s="121"/>
      <c r="AA255" s="121"/>
    </row>
    <row r="256" spans="1:27" ht="18.75">
      <c r="A256" s="88"/>
      <c r="B256" s="121">
        <v>6115</v>
      </c>
      <c r="C256" s="121" t="s">
        <v>37</v>
      </c>
      <c r="D256" s="88" t="s">
        <v>1101</v>
      </c>
      <c r="E256" s="121">
        <v>53</v>
      </c>
      <c r="F256" s="46" t="s">
        <v>1102</v>
      </c>
      <c r="G256" s="26" t="s">
        <v>78</v>
      </c>
      <c r="H256" s="122">
        <v>2370000</v>
      </c>
      <c r="I256" s="123"/>
      <c r="J256" s="130" t="str">
        <f>HYPERLINK("https://drive.google.com/drive/folders/0BwQ57SNHxB3BMnZ3Z2JUXzJNa1k","6115")</f>
        <v>6115</v>
      </c>
      <c r="K256" s="132" t="str">
        <f t="shared" si="39"/>
        <v>6115</v>
      </c>
      <c r="L256" s="125"/>
      <c r="M256" s="46"/>
      <c r="N256" s="126"/>
      <c r="O256" s="126"/>
      <c r="P256" s="126"/>
      <c r="Q256" s="126"/>
      <c r="R256" s="126"/>
      <c r="S256" s="126"/>
      <c r="T256" s="135">
        <v>15</v>
      </c>
      <c r="U256" s="135">
        <f t="shared" si="38"/>
        <v>2566</v>
      </c>
      <c r="V256" s="129" t="str">
        <f t="shared" si="27"/>
        <v>61</v>
      </c>
      <c r="W256" s="121">
        <f t="shared" si="35"/>
        <v>43</v>
      </c>
      <c r="X256" s="121"/>
      <c r="Y256" s="121"/>
      <c r="Z256" s="121"/>
      <c r="AA256" s="121"/>
    </row>
    <row r="257" spans="1:27" ht="18.75">
      <c r="A257" s="88"/>
      <c r="B257" s="121">
        <v>6115</v>
      </c>
      <c r="C257" s="121" t="s">
        <v>37</v>
      </c>
      <c r="D257" s="88" t="s">
        <v>1103</v>
      </c>
      <c r="E257" s="121">
        <v>53</v>
      </c>
      <c r="F257" s="46" t="s">
        <v>1104</v>
      </c>
      <c r="G257" s="26" t="s">
        <v>78</v>
      </c>
      <c r="H257" s="122">
        <v>3350000</v>
      </c>
      <c r="I257" s="123"/>
      <c r="J257" s="130" t="str">
        <f>HYPERLINK("https://drive.google.com/open?id=0B2rLR4BADrBtX2JCZmtRdV9NbEE","6115")</f>
        <v>6115</v>
      </c>
      <c r="K257" s="132" t="str">
        <f t="shared" si="39"/>
        <v>6115</v>
      </c>
      <c r="L257" s="125"/>
      <c r="M257" s="151"/>
      <c r="N257" s="126"/>
      <c r="O257" s="126"/>
      <c r="P257" s="126"/>
      <c r="Q257" s="126"/>
      <c r="R257" s="126"/>
      <c r="S257" s="126"/>
      <c r="T257" s="135">
        <v>15</v>
      </c>
      <c r="U257" s="135">
        <f t="shared" si="38"/>
        <v>2566</v>
      </c>
      <c r="V257" s="129" t="str">
        <f t="shared" si="27"/>
        <v>61</v>
      </c>
      <c r="W257" s="121">
        <f t="shared" si="35"/>
        <v>43</v>
      </c>
      <c r="X257" s="121"/>
      <c r="Y257" s="121"/>
      <c r="Z257" s="121"/>
      <c r="AA257" s="121"/>
    </row>
    <row r="258" spans="1:27" ht="18.75">
      <c r="A258" s="88"/>
      <c r="B258" s="121">
        <v>6115</v>
      </c>
      <c r="C258" s="121" t="s">
        <v>37</v>
      </c>
      <c r="D258" s="88" t="s">
        <v>1107</v>
      </c>
      <c r="E258" s="121">
        <v>61</v>
      </c>
      <c r="F258" s="46" t="s">
        <v>787</v>
      </c>
      <c r="G258" s="26" t="s">
        <v>78</v>
      </c>
      <c r="H258" s="122">
        <v>57500</v>
      </c>
      <c r="I258" s="123"/>
      <c r="J258" s="130" t="str">
        <f>HYPERLINK("https://drive.google.com/open?id=1sjSv_rM89aFStD85knj0Ogx3yYHNTs8z","6115")</f>
        <v>6115</v>
      </c>
      <c r="K258" s="125"/>
      <c r="L258" s="125"/>
      <c r="M258" s="151"/>
      <c r="N258" s="126"/>
      <c r="O258" s="126"/>
      <c r="P258" s="126"/>
      <c r="Q258" s="126"/>
      <c r="R258" s="126"/>
      <c r="S258" s="126"/>
      <c r="T258" s="135"/>
      <c r="U258" s="128"/>
      <c r="V258" s="129" t="str">
        <f t="shared" si="27"/>
        <v>61</v>
      </c>
      <c r="W258" s="121">
        <f t="shared" si="35"/>
        <v>43</v>
      </c>
      <c r="X258" s="121"/>
      <c r="Y258" s="121"/>
      <c r="Z258" s="121"/>
      <c r="AA258" s="121"/>
    </row>
    <row r="259" spans="1:27" ht="18.75">
      <c r="A259" s="88"/>
      <c r="B259" s="121">
        <v>6115</v>
      </c>
      <c r="C259" s="121" t="s">
        <v>37</v>
      </c>
      <c r="D259" s="88" t="s">
        <v>1108</v>
      </c>
      <c r="E259" s="121">
        <v>59</v>
      </c>
      <c r="F259" s="46" t="s">
        <v>1109</v>
      </c>
      <c r="G259" s="26" t="s">
        <v>78</v>
      </c>
      <c r="H259" s="122">
        <v>8000000</v>
      </c>
      <c r="I259" s="123"/>
      <c r="J259" s="130" t="str">
        <f>HYPERLINK("https://drive.google.com/open?id=0B2vBTVEfSzItVDVzcWp3VWFIYkE","6115")</f>
        <v>6115</v>
      </c>
      <c r="K259" s="125"/>
      <c r="L259" s="125"/>
      <c r="M259" s="46"/>
      <c r="N259" s="126"/>
      <c r="O259" s="126"/>
      <c r="P259" s="126"/>
      <c r="Q259" s="126"/>
      <c r="R259" s="126"/>
      <c r="S259" s="126"/>
      <c r="T259" s="135"/>
      <c r="U259" s="135">
        <f>E259+T259-2+2500</f>
        <v>2557</v>
      </c>
      <c r="V259" s="129" t="str">
        <f t="shared" si="27"/>
        <v>61</v>
      </c>
      <c r="W259" s="121">
        <f t="shared" si="35"/>
        <v>43</v>
      </c>
      <c r="X259" s="121"/>
      <c r="Y259" s="121"/>
      <c r="Z259" s="121"/>
      <c r="AA259" s="121"/>
    </row>
    <row r="260" spans="1:27" ht="18.75">
      <c r="A260" s="88"/>
      <c r="B260" s="121">
        <v>6115</v>
      </c>
      <c r="C260" s="121" t="s">
        <v>37</v>
      </c>
      <c r="D260" s="88" t="s">
        <v>1115</v>
      </c>
      <c r="E260" s="121">
        <v>60</v>
      </c>
      <c r="F260" s="46" t="s">
        <v>1116</v>
      </c>
      <c r="G260" s="26" t="s">
        <v>78</v>
      </c>
      <c r="H260" s="122">
        <v>20000</v>
      </c>
      <c r="I260" s="123"/>
      <c r="J260" s="130" t="str">
        <f>HYPERLINK("https://drive.google.com/open?id=0B2vBTVEfSzIteXdkcDAtM2NQVlE","6115")</f>
        <v>6115</v>
      </c>
      <c r="K260" s="125"/>
      <c r="L260" s="125"/>
      <c r="M260" s="46"/>
      <c r="N260" s="126"/>
      <c r="O260" s="126"/>
      <c r="P260" s="126"/>
      <c r="Q260" s="126"/>
      <c r="R260" s="126"/>
      <c r="S260" s="126"/>
      <c r="T260" s="135"/>
      <c r="U260" s="135">
        <f>E260+T260-2+2500</f>
        <v>2558</v>
      </c>
      <c r="V260" s="129" t="str">
        <f t="shared" si="27"/>
        <v>61</v>
      </c>
      <c r="W260" s="121">
        <f t="shared" si="35"/>
        <v>43</v>
      </c>
      <c r="X260" s="121"/>
      <c r="Y260" s="121"/>
      <c r="Z260" s="121"/>
      <c r="AA260" s="121"/>
    </row>
    <row r="261" spans="1:27" ht="27.75" customHeight="1">
      <c r="A261" s="88"/>
      <c r="B261" s="121">
        <v>6125</v>
      </c>
      <c r="C261" s="121" t="s">
        <v>372</v>
      </c>
      <c r="D261" s="88" t="s">
        <v>1120</v>
      </c>
      <c r="E261" s="121">
        <v>54</v>
      </c>
      <c r="F261" s="46" t="s">
        <v>1121</v>
      </c>
      <c r="G261" s="26" t="s">
        <v>78</v>
      </c>
      <c r="H261" s="122">
        <v>125000</v>
      </c>
      <c r="I261" s="123"/>
      <c r="J261" s="130" t="str">
        <f>HYPERLINK("https://drive.google.com/open?id=0B2rLR4BADrBtM3hnWDNRVk5wQ0E","6125")</f>
        <v>6125</v>
      </c>
      <c r="K261" s="132" t="str">
        <f>HYPERLINK("https://drive.google.com/drive/folders/0BwQ57SNHxB3BVDB0aGhIWjRoS0k","6125")</f>
        <v>6125</v>
      </c>
      <c r="L261" s="88">
        <v>6125356815196</v>
      </c>
      <c r="M261" s="46"/>
      <c r="N261" s="126"/>
      <c r="O261" s="126"/>
      <c r="P261" s="126"/>
      <c r="Q261" s="126"/>
      <c r="R261" s="126"/>
      <c r="S261" s="126"/>
      <c r="T261" s="135">
        <v>15</v>
      </c>
      <c r="U261" s="135">
        <f>E261+T261-2+2500</f>
        <v>2567</v>
      </c>
      <c r="V261" s="129" t="str">
        <f t="shared" si="27"/>
        <v>61</v>
      </c>
      <c r="W261" s="121">
        <f t="shared" si="35"/>
        <v>43</v>
      </c>
      <c r="X261" s="121" t="s">
        <v>548</v>
      </c>
      <c r="Y261" s="121"/>
      <c r="Z261" s="121"/>
      <c r="AA261" s="121"/>
    </row>
    <row r="262" spans="1:27" ht="18.75">
      <c r="A262" s="88"/>
      <c r="B262" s="121">
        <v>6125</v>
      </c>
      <c r="C262" s="121" t="s">
        <v>372</v>
      </c>
      <c r="D262" s="88" t="s">
        <v>1125</v>
      </c>
      <c r="E262" s="121">
        <v>54</v>
      </c>
      <c r="F262" s="46" t="s">
        <v>1126</v>
      </c>
      <c r="G262" s="26" t="s">
        <v>78</v>
      </c>
      <c r="H262" s="122">
        <v>72000</v>
      </c>
      <c r="I262" s="123"/>
      <c r="J262" s="130" t="str">
        <f>HYPERLINK("https://drive.google.com/open?id=0B2rLR4BADrBtZ0E0aVhfa2NvQlE","6125")</f>
        <v>6125</v>
      </c>
      <c r="K262" s="132" t="str">
        <f>HYPERLINK("https://drive.google.com/drive/folders/0BwQ57SNHxB3BVDB0aGhIWjRoS0k","6125")</f>
        <v>6125</v>
      </c>
      <c r="L262" s="125"/>
      <c r="M262" s="46"/>
      <c r="N262" s="126"/>
      <c r="O262" s="126"/>
      <c r="P262" s="126"/>
      <c r="Q262" s="126"/>
      <c r="R262" s="126"/>
      <c r="S262" s="126"/>
      <c r="T262" s="135">
        <v>15</v>
      </c>
      <c r="U262" s="135">
        <f>E262+T262-2+2500</f>
        <v>2567</v>
      </c>
      <c r="V262" s="129" t="str">
        <f t="shared" si="27"/>
        <v>61</v>
      </c>
      <c r="W262" s="121">
        <f t="shared" si="35"/>
        <v>43</v>
      </c>
      <c r="X262" s="121" t="s">
        <v>548</v>
      </c>
      <c r="Y262" s="121"/>
      <c r="Z262" s="121"/>
      <c r="AA262" s="121"/>
    </row>
    <row r="263" spans="1:27" ht="18.75">
      <c r="A263" s="88"/>
      <c r="B263" s="121">
        <v>6125</v>
      </c>
      <c r="C263" s="121" t="s">
        <v>37</v>
      </c>
      <c r="D263" s="88" t="s">
        <v>1127</v>
      </c>
      <c r="E263" s="121">
        <v>61</v>
      </c>
      <c r="F263" s="46" t="s">
        <v>1128</v>
      </c>
      <c r="G263" s="26" t="s">
        <v>78</v>
      </c>
      <c r="H263" s="122">
        <v>1150000</v>
      </c>
      <c r="I263" s="123"/>
      <c r="J263" s="130" t="str">
        <f>HYPERLINK("https://drive.google.com/open?id=1zYLo7flu51YN1-LYzpYM07estDH2q7mO","6125")</f>
        <v>6125</v>
      </c>
      <c r="K263" s="152"/>
      <c r="L263" s="152"/>
      <c r="M263" s="46"/>
      <c r="N263" s="126"/>
      <c r="O263" s="126"/>
      <c r="P263" s="126"/>
      <c r="Q263" s="126"/>
      <c r="R263" s="126"/>
      <c r="S263" s="126"/>
      <c r="T263" s="128"/>
      <c r="U263" s="128"/>
      <c r="V263" s="129" t="str">
        <f t="shared" si="27"/>
        <v>61</v>
      </c>
      <c r="W263" s="121">
        <f t="shared" si="35"/>
        <v>43</v>
      </c>
      <c r="X263" s="121"/>
      <c r="Y263" s="121"/>
      <c r="Z263" s="121"/>
      <c r="AA263" s="121"/>
    </row>
    <row r="264" spans="1:27" ht="18.75">
      <c r="A264" s="88"/>
      <c r="B264" s="121">
        <v>6125</v>
      </c>
      <c r="C264" s="121" t="s">
        <v>37</v>
      </c>
      <c r="D264" s="88" t="s">
        <v>1129</v>
      </c>
      <c r="E264" s="121">
        <v>61</v>
      </c>
      <c r="F264" s="46" t="s">
        <v>1130</v>
      </c>
      <c r="G264" s="26" t="s">
        <v>78</v>
      </c>
      <c r="H264" s="122">
        <v>850000</v>
      </c>
      <c r="I264" s="123"/>
      <c r="J264" s="130" t="str">
        <f>HYPERLINK("https://drive.google.com/open?id=1WMMwbN5x_Rl7g4pN8yc-c15EKmNEwQiK","6125")</f>
        <v>6125</v>
      </c>
      <c r="K264" s="152"/>
      <c r="L264" s="152"/>
      <c r="M264" s="46"/>
      <c r="N264" s="126"/>
      <c r="O264" s="126"/>
      <c r="P264" s="126"/>
      <c r="Q264" s="126"/>
      <c r="R264" s="126"/>
      <c r="S264" s="126"/>
      <c r="T264" s="128"/>
      <c r="U264" s="128"/>
      <c r="V264" s="129" t="str">
        <f t="shared" si="27"/>
        <v>61</v>
      </c>
      <c r="W264" s="121">
        <f t="shared" si="35"/>
        <v>43</v>
      </c>
      <c r="X264" s="121"/>
      <c r="Y264" s="121"/>
      <c r="Z264" s="121"/>
      <c r="AA264" s="121"/>
    </row>
    <row r="265" spans="1:27" ht="18.75">
      <c r="A265" s="88"/>
      <c r="B265" s="121">
        <v>6125</v>
      </c>
      <c r="C265" s="121" t="s">
        <v>372</v>
      </c>
      <c r="D265" s="88" t="s">
        <v>1131</v>
      </c>
      <c r="E265" s="121">
        <v>53</v>
      </c>
      <c r="F265" s="46" t="s">
        <v>1132</v>
      </c>
      <c r="G265" s="26" t="s">
        <v>78</v>
      </c>
      <c r="H265" s="122">
        <v>250000</v>
      </c>
      <c r="I265" s="123"/>
      <c r="J265" s="130" t="str">
        <f>HYPERLINK("https://drive.google.com/open?id=0B2rLR4BADrBtRy1FX2RoUnVUR0k","6125")</f>
        <v>6125</v>
      </c>
      <c r="K265" s="132" t="str">
        <f>HYPERLINK("https://drive.google.com/drive/folders/0BwQ57SNHxB3BVDB0aGhIWjRoS0k","6125")</f>
        <v>6125</v>
      </c>
      <c r="L265" s="88">
        <v>6125356815198</v>
      </c>
      <c r="M265" s="46"/>
      <c r="N265" s="126"/>
      <c r="O265" s="126"/>
      <c r="P265" s="126"/>
      <c r="Q265" s="126"/>
      <c r="R265" s="126"/>
      <c r="S265" s="126"/>
      <c r="T265" s="135">
        <v>15</v>
      </c>
      <c r="U265" s="135">
        <f t="shared" ref="U265:U275" si="40">E265+T265-2+2500</f>
        <v>2566</v>
      </c>
      <c r="V265" s="129" t="str">
        <f t="shared" si="27"/>
        <v>61</v>
      </c>
      <c r="W265" s="121">
        <f>COUNTIF('52-62 (สำหรับ จก.ตรวจเยี่ยม)'!$V$4:$V$286,V265)-1</f>
        <v>43</v>
      </c>
      <c r="X265" s="121" t="s">
        <v>548</v>
      </c>
      <c r="Y265" s="121"/>
      <c r="Z265" s="121"/>
      <c r="AA265" s="121"/>
    </row>
    <row r="266" spans="1:27" ht="18.75">
      <c r="A266" s="88"/>
      <c r="B266" s="121">
        <v>6125</v>
      </c>
      <c r="C266" s="121" t="s">
        <v>372</v>
      </c>
      <c r="D266" s="88" t="s">
        <v>1133</v>
      </c>
      <c r="E266" s="121">
        <v>53</v>
      </c>
      <c r="F266" s="46" t="s">
        <v>1134</v>
      </c>
      <c r="G266" s="26" t="s">
        <v>78</v>
      </c>
      <c r="H266" s="122">
        <v>80000</v>
      </c>
      <c r="I266" s="123"/>
      <c r="J266" s="130" t="str">
        <f>HYPERLINK("https://drive.google.com/open?id=0B2rLR4BADrBtWGJ6cnB1V1N3Njg","6125")</f>
        <v>6125</v>
      </c>
      <c r="K266" s="132" t="str">
        <f>HYPERLINK("https://drive.google.com/drive/folders/0BwQ57SNHxB3BVDB0aGhIWjRoS0k","6125")</f>
        <v>6125</v>
      </c>
      <c r="L266" s="125"/>
      <c r="M266" s="46"/>
      <c r="N266" s="126"/>
      <c r="O266" s="126"/>
      <c r="P266" s="126"/>
      <c r="Q266" s="126"/>
      <c r="R266" s="126"/>
      <c r="S266" s="126"/>
      <c r="T266" s="135">
        <v>15</v>
      </c>
      <c r="U266" s="135">
        <f t="shared" si="40"/>
        <v>2566</v>
      </c>
      <c r="V266" s="129" t="str">
        <f t="shared" si="27"/>
        <v>61</v>
      </c>
      <c r="W266" s="121">
        <f>COUNTIF('52-62 (สำหรับ จก.ตรวจเยี่ยม)'!$V$4:$V$286,V266)-1</f>
        <v>43</v>
      </c>
      <c r="X266" s="121" t="s">
        <v>548</v>
      </c>
      <c r="Y266" s="121"/>
      <c r="Z266" s="121"/>
      <c r="AA266" s="121"/>
    </row>
    <row r="267" spans="1:27" ht="18.75">
      <c r="A267" s="88"/>
      <c r="B267" s="121">
        <v>6125</v>
      </c>
      <c r="C267" s="121" t="s">
        <v>37</v>
      </c>
      <c r="D267" s="88" t="s">
        <v>1135</v>
      </c>
      <c r="E267" s="121">
        <v>55</v>
      </c>
      <c r="F267" s="46" t="s">
        <v>1136</v>
      </c>
      <c r="G267" s="26" t="s">
        <v>78</v>
      </c>
      <c r="H267" s="122">
        <v>1800000</v>
      </c>
      <c r="I267" s="123"/>
      <c r="J267" s="130" t="str">
        <f>HYPERLINK("https://drive.google.com/open?id=0B2rLR4BADrBtLWtPdURPZzl5c0k","6125")</f>
        <v>6125</v>
      </c>
      <c r="K267" s="132" t="str">
        <f>HYPERLINK("https://drive.google.com/drive/folders/0BwQ57SNHxB3BVDB0aGhIWjRoS0k","6125")</f>
        <v>6125</v>
      </c>
      <c r="L267" s="125"/>
      <c r="M267" s="46"/>
      <c r="N267" s="126"/>
      <c r="O267" s="126"/>
      <c r="P267" s="126"/>
      <c r="Q267" s="126"/>
      <c r="R267" s="126"/>
      <c r="S267" s="126"/>
      <c r="T267" s="135">
        <v>15</v>
      </c>
      <c r="U267" s="135">
        <f t="shared" si="40"/>
        <v>2568</v>
      </c>
      <c r="V267" s="129" t="str">
        <f t="shared" si="27"/>
        <v>61</v>
      </c>
      <c r="W267" s="121">
        <f>COUNTIF('52-62 (สำหรับ จก.ตรวจเยี่ยม)'!$V$4:$V$286,V267)-1</f>
        <v>43</v>
      </c>
      <c r="X267" s="121"/>
      <c r="Y267" s="121"/>
      <c r="Z267" s="121"/>
      <c r="AA267" s="121"/>
    </row>
    <row r="268" spans="1:27" ht="18.75">
      <c r="A268" s="88"/>
      <c r="B268" s="121">
        <v>6125</v>
      </c>
      <c r="C268" s="121" t="s">
        <v>37</v>
      </c>
      <c r="D268" s="88" t="s">
        <v>1137</v>
      </c>
      <c r="E268" s="121">
        <v>55</v>
      </c>
      <c r="F268" s="46" t="s">
        <v>1138</v>
      </c>
      <c r="G268" s="26" t="s">
        <v>78</v>
      </c>
      <c r="H268" s="122">
        <v>2500000</v>
      </c>
      <c r="I268" s="123"/>
      <c r="J268" s="130" t="str">
        <f>HYPERLINK("https://drive.google.com/open?id=0B2rLR4BADrBtZE8zUEh5SGFQelU","6125")</f>
        <v>6125</v>
      </c>
      <c r="K268" s="132" t="str">
        <f>HYPERLINK("https://drive.google.com/drive/folders/0BwQ57SNHxB3BVDB0aGhIWjRoS0k","6125")</f>
        <v>6125</v>
      </c>
      <c r="L268" s="125"/>
      <c r="M268" s="46"/>
      <c r="N268" s="126"/>
      <c r="O268" s="126"/>
      <c r="P268" s="126"/>
      <c r="Q268" s="126"/>
      <c r="R268" s="126"/>
      <c r="S268" s="126"/>
      <c r="T268" s="135">
        <v>15</v>
      </c>
      <c r="U268" s="135">
        <f t="shared" si="40"/>
        <v>2568</v>
      </c>
      <c r="V268" s="129" t="str">
        <f t="shared" si="27"/>
        <v>61</v>
      </c>
      <c r="W268" s="121">
        <f>COUNTIF('52-62 (สำหรับ จก.ตรวจเยี่ยม)'!$V$4:$V$286,V268)-1</f>
        <v>43</v>
      </c>
      <c r="X268" s="121"/>
      <c r="Y268" s="121"/>
      <c r="Z268" s="121"/>
      <c r="AA268" s="121"/>
    </row>
    <row r="269" spans="1:27" ht="18.75">
      <c r="A269" s="88"/>
      <c r="B269" s="121">
        <v>6130</v>
      </c>
      <c r="C269" s="121" t="s">
        <v>157</v>
      </c>
      <c r="D269" s="88" t="s">
        <v>1139</v>
      </c>
      <c r="E269" s="121">
        <v>56</v>
      </c>
      <c r="F269" s="46" t="s">
        <v>1140</v>
      </c>
      <c r="G269" s="26" t="s">
        <v>78</v>
      </c>
      <c r="H269" s="122">
        <v>9500</v>
      </c>
      <c r="I269" s="123"/>
      <c r="J269" s="130" t="str">
        <f>HYPERLINK("https://drive.google.com/open?id=0B2rLR4BADrBtTmtHYzZKNGlxNEU","6130")</f>
        <v>6130</v>
      </c>
      <c r="K269" s="132" t="str">
        <f>HYPERLINK("https://drive.google.com/drive/folders/0BwQ57SNHxB3BeU9ELXF2RTVjQ28","6130")</f>
        <v>6130</v>
      </c>
      <c r="L269" s="125"/>
      <c r="M269" s="46"/>
      <c r="N269" s="126"/>
      <c r="O269" s="126"/>
      <c r="P269" s="126"/>
      <c r="Q269" s="126"/>
      <c r="R269" s="126"/>
      <c r="S269" s="126"/>
      <c r="T269" s="128">
        <v>15</v>
      </c>
      <c r="U269" s="128">
        <f t="shared" si="40"/>
        <v>2569</v>
      </c>
      <c r="V269" s="129" t="str">
        <f t="shared" si="27"/>
        <v>61</v>
      </c>
      <c r="W269" s="121">
        <f t="shared" ref="W269:W275" si="41">COUNTIF($V$4:$V$286,V269)-1</f>
        <v>43</v>
      </c>
      <c r="X269" s="121"/>
      <c r="Y269" s="121"/>
      <c r="Z269" s="121"/>
      <c r="AA269" s="121"/>
    </row>
    <row r="270" spans="1:27" ht="18.75">
      <c r="A270" s="88"/>
      <c r="B270" s="121">
        <v>6130</v>
      </c>
      <c r="C270" s="121" t="s">
        <v>157</v>
      </c>
      <c r="D270" s="88" t="s">
        <v>1141</v>
      </c>
      <c r="E270" s="121">
        <v>54</v>
      </c>
      <c r="F270" s="46" t="s">
        <v>1142</v>
      </c>
      <c r="G270" s="26" t="s">
        <v>78</v>
      </c>
      <c r="H270" s="122">
        <v>12500</v>
      </c>
      <c r="I270" s="123"/>
      <c r="J270" s="130" t="str">
        <f>HYPERLINK("https://drive.google.com/open?id=0B2rLR4BADrBtM19JTWJQb3pUU0k","6130")</f>
        <v>6130</v>
      </c>
      <c r="K270" s="132" t="str">
        <f>HYPERLINK("https://drive.google.com/drive/folders/0BwQ57SNHxB3BeU9ELXF2RTVjQ28","6130")</f>
        <v>6130</v>
      </c>
      <c r="L270" s="125"/>
      <c r="M270" s="46"/>
      <c r="N270" s="126"/>
      <c r="O270" s="126"/>
      <c r="P270" s="126"/>
      <c r="Q270" s="126"/>
      <c r="R270" s="126"/>
      <c r="S270" s="126"/>
      <c r="T270" s="128">
        <v>15</v>
      </c>
      <c r="U270" s="128">
        <f t="shared" si="40"/>
        <v>2567</v>
      </c>
      <c r="V270" s="129" t="str">
        <f t="shared" si="27"/>
        <v>61</v>
      </c>
      <c r="W270" s="121">
        <f t="shared" si="41"/>
        <v>43</v>
      </c>
      <c r="X270" s="121"/>
      <c r="Y270" s="121"/>
      <c r="Z270" s="121"/>
      <c r="AA270" s="121"/>
    </row>
    <row r="271" spans="1:27" ht="18.75">
      <c r="A271" s="88"/>
      <c r="B271" s="121">
        <v>6130</v>
      </c>
      <c r="C271" s="121" t="s">
        <v>372</v>
      </c>
      <c r="D271" s="88" t="s">
        <v>1143</v>
      </c>
      <c r="E271" s="121">
        <v>56</v>
      </c>
      <c r="F271" s="46" t="s">
        <v>1144</v>
      </c>
      <c r="G271" s="26" t="s">
        <v>78</v>
      </c>
      <c r="H271" s="122">
        <v>27200</v>
      </c>
      <c r="I271" s="123"/>
      <c r="J271" s="130" t="str">
        <f>HYPERLINK("https://drive.google.com/open?id=0B2rLR4BADrBtbEFFdlZ5Njd3Umc","6130")</f>
        <v>6130</v>
      </c>
      <c r="K271" s="132" t="str">
        <f>HYPERLINK("https://drive.google.com/drive/folders/0BwQ57SNHxB3BeU9ELXF2RTVjQ28","6130")</f>
        <v>6130</v>
      </c>
      <c r="L271" s="125"/>
      <c r="M271" s="46"/>
      <c r="N271" s="126"/>
      <c r="O271" s="126"/>
      <c r="P271" s="126"/>
      <c r="Q271" s="126"/>
      <c r="R271" s="126"/>
      <c r="S271" s="126"/>
      <c r="T271" s="135">
        <v>15</v>
      </c>
      <c r="U271" s="135">
        <f t="shared" si="40"/>
        <v>2569</v>
      </c>
      <c r="V271" s="129" t="str">
        <f t="shared" si="27"/>
        <v>61</v>
      </c>
      <c r="W271" s="121">
        <f t="shared" si="41"/>
        <v>43</v>
      </c>
      <c r="X271" s="121" t="s">
        <v>548</v>
      </c>
      <c r="Y271" s="121"/>
      <c r="Z271" s="121"/>
      <c r="AA271" s="121"/>
    </row>
    <row r="272" spans="1:27" ht="18.75">
      <c r="A272" s="88"/>
      <c r="B272" s="121">
        <v>6130</v>
      </c>
      <c r="C272" s="121" t="s">
        <v>372</v>
      </c>
      <c r="D272" s="88" t="s">
        <v>1145</v>
      </c>
      <c r="E272" s="121">
        <v>56</v>
      </c>
      <c r="F272" s="46" t="s">
        <v>1146</v>
      </c>
      <c r="G272" s="26" t="s">
        <v>78</v>
      </c>
      <c r="H272" s="122">
        <v>13500</v>
      </c>
      <c r="I272" s="123"/>
      <c r="J272" s="130" t="str">
        <f>HYPERLINK("https://drive.google.com/open?id=0B2rLR4BADrBtQlllUElrT1k1Q0k","6130")</f>
        <v>6130</v>
      </c>
      <c r="K272" s="132" t="str">
        <f>HYPERLINK("https://drive.google.com/drive/folders/0BwQ57SNHxB3BeU9ELXF2RTVjQ28","6130")</f>
        <v>6130</v>
      </c>
      <c r="L272" s="125"/>
      <c r="M272" s="46"/>
      <c r="N272" s="126"/>
      <c r="O272" s="126"/>
      <c r="P272" s="126"/>
      <c r="Q272" s="126"/>
      <c r="R272" s="126"/>
      <c r="S272" s="126"/>
      <c r="T272" s="135">
        <v>15</v>
      </c>
      <c r="U272" s="135">
        <f t="shared" si="40"/>
        <v>2569</v>
      </c>
      <c r="V272" s="129" t="str">
        <f t="shared" si="27"/>
        <v>61</v>
      </c>
      <c r="W272" s="121">
        <f t="shared" si="41"/>
        <v>43</v>
      </c>
      <c r="X272" s="121" t="s">
        <v>548</v>
      </c>
      <c r="Y272" s="121"/>
      <c r="Z272" s="121"/>
      <c r="AA272" s="121"/>
    </row>
    <row r="273" spans="1:27" ht="18.75">
      <c r="A273" s="88"/>
      <c r="B273" s="121">
        <v>6150</v>
      </c>
      <c r="C273" s="121" t="s">
        <v>37</v>
      </c>
      <c r="D273" s="88" t="s">
        <v>1147</v>
      </c>
      <c r="E273" s="121">
        <v>58</v>
      </c>
      <c r="F273" s="46" t="s">
        <v>1148</v>
      </c>
      <c r="G273" s="26" t="s">
        <v>53</v>
      </c>
      <c r="H273" s="122"/>
      <c r="I273" s="123"/>
      <c r="J273" s="130" t="str">
        <f>HYPERLINK("https://drive.google.com/open?id=0B2vBTVEfSzItTVEtN3BQZURfX3M","6150")</f>
        <v>6150</v>
      </c>
      <c r="K273" s="132" t="str">
        <f>HYPERLINK("https://drive.google.com/drive/folders/0BwQ57SNHxB3BdWdCcVYwZUJvY3c","6150")</f>
        <v>6150</v>
      </c>
      <c r="L273" s="125"/>
      <c r="M273" s="46"/>
      <c r="N273" s="126"/>
      <c r="O273" s="126"/>
      <c r="P273" s="126"/>
      <c r="Q273" s="126"/>
      <c r="R273" s="126"/>
      <c r="S273" s="126"/>
      <c r="T273" s="128">
        <v>15</v>
      </c>
      <c r="U273" s="128">
        <f t="shared" si="40"/>
        <v>2571</v>
      </c>
      <c r="V273" s="129" t="str">
        <f t="shared" si="27"/>
        <v>61</v>
      </c>
      <c r="W273" s="121">
        <f t="shared" si="41"/>
        <v>43</v>
      </c>
      <c r="X273" s="121"/>
      <c r="Y273" s="121"/>
      <c r="Z273" s="121"/>
      <c r="AA273" s="121"/>
    </row>
    <row r="274" spans="1:27" ht="18.75">
      <c r="A274" s="88"/>
      <c r="B274" s="121">
        <v>6150</v>
      </c>
      <c r="C274" s="121" t="s">
        <v>37</v>
      </c>
      <c r="D274" s="88" t="s">
        <v>1149</v>
      </c>
      <c r="E274" s="121">
        <v>58</v>
      </c>
      <c r="F274" s="46" t="s">
        <v>1150</v>
      </c>
      <c r="G274" s="26" t="s">
        <v>53</v>
      </c>
      <c r="H274" s="122">
        <v>390000</v>
      </c>
      <c r="I274" s="123"/>
      <c r="J274" s="130" t="str">
        <f>HYPERLINK("https://drive.google.com/open?id=0B2vBTVEfSzItbWgxal9hRzROVWM","6150")</f>
        <v>6150</v>
      </c>
      <c r="K274" s="132" t="str">
        <f>HYPERLINK("https://drive.google.com/drive/folders/0BwQ57SNHxB3BdWdCcVYwZUJvY3c","6150")</f>
        <v>6150</v>
      </c>
      <c r="L274" s="125"/>
      <c r="M274" s="46"/>
      <c r="N274" s="126"/>
      <c r="O274" s="126"/>
      <c r="P274" s="126"/>
      <c r="Q274" s="126"/>
      <c r="R274" s="126"/>
      <c r="S274" s="126"/>
      <c r="T274" s="128">
        <v>15</v>
      </c>
      <c r="U274" s="128">
        <f t="shared" si="40"/>
        <v>2571</v>
      </c>
      <c r="V274" s="129" t="str">
        <f t="shared" si="27"/>
        <v>61</v>
      </c>
      <c r="W274" s="121">
        <f t="shared" si="41"/>
        <v>43</v>
      </c>
      <c r="X274" s="121"/>
      <c r="Y274" s="121"/>
      <c r="Z274" s="121"/>
      <c r="AA274" s="121"/>
    </row>
    <row r="275" spans="1:27" ht="18.75">
      <c r="A275" s="88"/>
      <c r="B275" s="121">
        <v>6150</v>
      </c>
      <c r="C275" s="121" t="s">
        <v>37</v>
      </c>
      <c r="D275" s="88" t="s">
        <v>1151</v>
      </c>
      <c r="E275" s="121">
        <v>55</v>
      </c>
      <c r="F275" s="46" t="s">
        <v>1152</v>
      </c>
      <c r="G275" s="26" t="s">
        <v>78</v>
      </c>
      <c r="H275" s="122">
        <v>38000</v>
      </c>
      <c r="I275" s="123"/>
      <c r="J275" s="130" t="str">
        <f>HYPERLINK("https://drive.google.com/open?id=0B2rLR4BADrBtc2ZmSVZQUHBNNFU","6150")</f>
        <v>6150</v>
      </c>
      <c r="K275" s="132" t="str">
        <f>HYPERLINK("https://drive.google.com/drive/folders/0BwQ57SNHxB3BdWdCcVYwZUJvY3c","6150")</f>
        <v>6150</v>
      </c>
      <c r="L275" s="125"/>
      <c r="M275" s="46"/>
      <c r="N275" s="126"/>
      <c r="O275" s="126"/>
      <c r="P275" s="126"/>
      <c r="Q275" s="126"/>
      <c r="R275" s="126"/>
      <c r="S275" s="126"/>
      <c r="T275" s="128">
        <v>15</v>
      </c>
      <c r="U275" s="128">
        <f t="shared" si="40"/>
        <v>2568</v>
      </c>
      <c r="V275" s="129" t="str">
        <f t="shared" si="27"/>
        <v>61</v>
      </c>
      <c r="W275" s="121">
        <f t="shared" si="41"/>
        <v>43</v>
      </c>
      <c r="X275" s="121"/>
      <c r="Y275" s="121"/>
      <c r="Z275" s="121"/>
      <c r="AA275" s="121"/>
    </row>
    <row r="276" spans="1:27" ht="18.75">
      <c r="A276" s="117"/>
      <c r="B276" s="117">
        <v>6200</v>
      </c>
      <c r="C276" s="117"/>
      <c r="D276" s="117" t="str">
        <f>"พัสดุ"&amp; VLOOKUP(V276,'เลขSpec.2 ตัวแรก'!$A$2:$B$100,2,FALSE)&amp; " จำนวน "&amp;W276&amp;" รายการ"</f>
        <v>พัสดุหมวด 62 สิ่งติดตั้งให้แสงสว่างและหลอดไฟฟ้า จำนวน 6 รายการ</v>
      </c>
      <c r="E276" s="117"/>
      <c r="F276" s="119"/>
      <c r="G276" s="119"/>
      <c r="H276" s="119"/>
      <c r="I276" s="117"/>
      <c r="J276" s="117"/>
      <c r="K276" s="117"/>
      <c r="L276" s="118"/>
      <c r="M276" s="117"/>
      <c r="N276" s="117"/>
      <c r="O276" s="117"/>
      <c r="P276" s="117"/>
      <c r="Q276" s="117"/>
      <c r="R276" s="119"/>
      <c r="S276" s="119"/>
      <c r="T276" s="119"/>
      <c r="U276" s="117"/>
      <c r="V276" s="117" t="str">
        <f t="shared" si="27"/>
        <v>62</v>
      </c>
      <c r="W276" s="117">
        <f>COUNTIF($V$2:$V$286,V276)-1</f>
        <v>6</v>
      </c>
      <c r="X276" s="118"/>
      <c r="Y276" s="24"/>
      <c r="Z276" s="24"/>
      <c r="AA276" s="24"/>
    </row>
    <row r="277" spans="1:27" ht="18.75">
      <c r="A277" s="88"/>
      <c r="B277" s="121">
        <v>6210</v>
      </c>
      <c r="C277" s="121" t="s">
        <v>37</v>
      </c>
      <c r="D277" s="88" t="s">
        <v>1153</v>
      </c>
      <c r="E277" s="121">
        <v>58</v>
      </c>
      <c r="F277" s="46" t="s">
        <v>1154</v>
      </c>
      <c r="G277" s="26" t="s">
        <v>53</v>
      </c>
      <c r="H277" s="122">
        <v>25000</v>
      </c>
      <c r="I277" s="123"/>
      <c r="J277" s="130" t="str">
        <f>HYPERLINK("https://drive.google.com/open?id=0B2vBTVEfSzItdTFoamhtbTdLVWM","6210")</f>
        <v>6210</v>
      </c>
      <c r="K277" s="132" t="str">
        <f>HYPERLINK("https://drive.google.com/drive/folders/0BwQ57SNHxB3BU0dnSnAtbXBjckU","6210")</f>
        <v>6210</v>
      </c>
      <c r="L277" s="125"/>
      <c r="M277" s="46"/>
      <c r="N277" s="126"/>
      <c r="O277" s="126"/>
      <c r="P277" s="126"/>
      <c r="Q277" s="126"/>
      <c r="R277" s="126"/>
      <c r="S277" s="126"/>
      <c r="T277" s="128">
        <v>15</v>
      </c>
      <c r="U277" s="128">
        <f t="shared" ref="U277:U282" si="42">E277+T277-2+2500</f>
        <v>2571</v>
      </c>
      <c r="V277" s="129" t="str">
        <f t="shared" si="27"/>
        <v>62</v>
      </c>
      <c r="W277" s="121">
        <f>COUNTIF($V$4:$V$286,V277)-1</f>
        <v>6</v>
      </c>
      <c r="X277" s="121"/>
      <c r="Y277" s="121"/>
      <c r="Z277" s="121"/>
      <c r="AA277" s="121"/>
    </row>
    <row r="278" spans="1:27" ht="18.75">
      <c r="A278" s="88"/>
      <c r="B278" s="121">
        <v>6210</v>
      </c>
      <c r="C278" s="121" t="s">
        <v>37</v>
      </c>
      <c r="D278" s="88" t="s">
        <v>1155</v>
      </c>
      <c r="E278" s="121">
        <v>58</v>
      </c>
      <c r="F278" s="46" t="s">
        <v>1156</v>
      </c>
      <c r="G278" s="26" t="s">
        <v>53</v>
      </c>
      <c r="H278" s="122">
        <v>25000</v>
      </c>
      <c r="I278" s="123"/>
      <c r="J278" s="130" t="str">
        <f>HYPERLINK("https://drive.google.com/open?id=0B2vBTVEfSzItWG80b09USW1rY1E","6210")</f>
        <v>6210</v>
      </c>
      <c r="K278" s="132" t="str">
        <f>HYPERLINK("https://drive.google.com/drive/folders/0BwQ57SNHxB3BU0dnSnAtbXBjckU","6210")</f>
        <v>6210</v>
      </c>
      <c r="L278" s="125"/>
      <c r="M278" s="46"/>
      <c r="N278" s="126"/>
      <c r="O278" s="126"/>
      <c r="P278" s="126"/>
      <c r="Q278" s="126"/>
      <c r="R278" s="126"/>
      <c r="S278" s="126"/>
      <c r="T278" s="128">
        <v>15</v>
      </c>
      <c r="U278" s="128">
        <f t="shared" si="42"/>
        <v>2571</v>
      </c>
      <c r="V278" s="129" t="str">
        <f t="shared" si="27"/>
        <v>62</v>
      </c>
      <c r="W278" s="121">
        <f>COUNTIF($V$4:$V$286,V278)-1</f>
        <v>6</v>
      </c>
      <c r="X278" s="121"/>
      <c r="Y278" s="121"/>
      <c r="Z278" s="121"/>
      <c r="AA278" s="121"/>
    </row>
    <row r="279" spans="1:27" ht="18.75">
      <c r="A279" s="88"/>
      <c r="B279" s="121">
        <v>6210</v>
      </c>
      <c r="C279" s="121" t="s">
        <v>37</v>
      </c>
      <c r="D279" s="88" t="s">
        <v>1157</v>
      </c>
      <c r="E279" s="121">
        <v>55</v>
      </c>
      <c r="F279" s="46" t="s">
        <v>1158</v>
      </c>
      <c r="G279" s="26" t="s">
        <v>53</v>
      </c>
      <c r="H279" s="122"/>
      <c r="I279" s="123"/>
      <c r="J279" s="130" t="str">
        <f>HYPERLINK("https://drive.google.com/open?id=0B2rLR4BADrBtaWlfTmY0VFFUOVk","6210")</f>
        <v>6210</v>
      </c>
      <c r="K279" s="132" t="str">
        <f>HYPERLINK("https://drive.google.com/drive/folders/0BwQ57SNHxB3BU0dnSnAtbXBjckU","6210")</f>
        <v>6210</v>
      </c>
      <c r="L279" s="125"/>
      <c r="M279" s="150"/>
      <c r="N279" s="126"/>
      <c r="O279" s="126"/>
      <c r="P279" s="126"/>
      <c r="Q279" s="126"/>
      <c r="R279" s="126"/>
      <c r="S279" s="126"/>
      <c r="T279" s="128">
        <v>15</v>
      </c>
      <c r="U279" s="128">
        <f t="shared" si="42"/>
        <v>2568</v>
      </c>
      <c r="V279" s="129" t="str">
        <f t="shared" si="27"/>
        <v>62</v>
      </c>
      <c r="W279" s="121">
        <f>COUNTIF('52-62 (สำหรับ จก.ตรวจเยี่ยม)'!$V$4:$V$286,V279)-1</f>
        <v>6</v>
      </c>
      <c r="X279" s="121"/>
      <c r="Y279" s="121"/>
      <c r="Z279" s="121"/>
      <c r="AA279" s="121"/>
    </row>
    <row r="280" spans="1:27" ht="18.75">
      <c r="A280" s="88"/>
      <c r="B280" s="121">
        <v>6210</v>
      </c>
      <c r="C280" s="121" t="s">
        <v>37</v>
      </c>
      <c r="D280" s="88" t="s">
        <v>1160</v>
      </c>
      <c r="E280" s="121">
        <v>59</v>
      </c>
      <c r="F280" s="46" t="s">
        <v>1161</v>
      </c>
      <c r="G280" s="26" t="s">
        <v>53</v>
      </c>
      <c r="H280" s="122"/>
      <c r="I280" s="123"/>
      <c r="J280" s="130" t="str">
        <f>HYPERLINK("https://drive.google.com/open?id=0B2vBTVEfSzItcjRRNTJmSkFTbEk","6210")</f>
        <v>6210</v>
      </c>
      <c r="K280" s="125"/>
      <c r="L280" s="125"/>
      <c r="M280" s="150"/>
      <c r="N280" s="126"/>
      <c r="O280" s="126"/>
      <c r="P280" s="126"/>
      <c r="Q280" s="126"/>
      <c r="R280" s="126"/>
      <c r="S280" s="126"/>
      <c r="T280" s="128"/>
      <c r="U280" s="128">
        <f t="shared" si="42"/>
        <v>2557</v>
      </c>
      <c r="V280" s="129" t="str">
        <f t="shared" si="27"/>
        <v>62</v>
      </c>
      <c r="W280" s="121">
        <f>COUNTIF('52-62 (สำหรับ จก.ตรวจเยี่ยม)'!$V$4:$V$286,V280)-1</f>
        <v>6</v>
      </c>
      <c r="X280" s="121"/>
      <c r="Y280" s="121"/>
      <c r="Z280" s="121"/>
      <c r="AA280" s="121"/>
    </row>
    <row r="281" spans="1:27" ht="18.75">
      <c r="A281" s="88"/>
      <c r="B281" s="121">
        <v>6230</v>
      </c>
      <c r="C281" s="121" t="s">
        <v>37</v>
      </c>
      <c r="D281" s="88" t="s">
        <v>1162</v>
      </c>
      <c r="E281" s="121">
        <v>60</v>
      </c>
      <c r="F281" s="46" t="s">
        <v>1163</v>
      </c>
      <c r="G281" s="26" t="s">
        <v>78</v>
      </c>
      <c r="H281" s="122">
        <v>380000</v>
      </c>
      <c r="I281" s="123"/>
      <c r="J281" s="130" t="str">
        <f>HYPERLINK("https://drive.google.com/open?id=0B2vBTVEfSzItY0xGd1VEejJVdE0","6230")</f>
        <v>6230</v>
      </c>
      <c r="K281" s="125"/>
      <c r="L281" s="125"/>
      <c r="M281" s="46"/>
      <c r="N281" s="126"/>
      <c r="O281" s="126"/>
      <c r="P281" s="126"/>
      <c r="Q281" s="126"/>
      <c r="R281" s="126"/>
      <c r="S281" s="126"/>
      <c r="T281" s="128"/>
      <c r="U281" s="128">
        <f t="shared" si="42"/>
        <v>2558</v>
      </c>
      <c r="V281" s="129" t="str">
        <f t="shared" si="27"/>
        <v>62</v>
      </c>
      <c r="W281" s="121">
        <f>COUNTIF($V$4:$V$286,V281)-1</f>
        <v>6</v>
      </c>
      <c r="X281" s="121"/>
      <c r="Y281" s="121"/>
      <c r="Z281" s="121"/>
      <c r="AA281" s="121"/>
    </row>
    <row r="282" spans="1:27" ht="18.75">
      <c r="A282" s="88"/>
      <c r="B282" s="121">
        <v>6230</v>
      </c>
      <c r="C282" s="121" t="s">
        <v>37</v>
      </c>
      <c r="D282" s="88" t="s">
        <v>1164</v>
      </c>
      <c r="E282" s="121">
        <v>60</v>
      </c>
      <c r="F282" s="46" t="s">
        <v>1165</v>
      </c>
      <c r="G282" s="26" t="s">
        <v>78</v>
      </c>
      <c r="H282" s="122">
        <v>428000</v>
      </c>
      <c r="I282" s="123"/>
      <c r="J282" s="130" t="str">
        <f>HYPERLINK("https://drive.google.com/open?id=1IX9TKLdgHzEM5ImxZF8EQnGbXuB5Q8mO","6230")</f>
        <v>6230</v>
      </c>
      <c r="K282" s="125"/>
      <c r="L282" s="125"/>
      <c r="M282" s="46"/>
      <c r="N282" s="126"/>
      <c r="O282" s="126"/>
      <c r="P282" s="126"/>
      <c r="Q282" s="126"/>
      <c r="R282" s="126"/>
      <c r="S282" s="126"/>
      <c r="T282" s="128"/>
      <c r="U282" s="128">
        <f t="shared" si="42"/>
        <v>2558</v>
      </c>
      <c r="V282" s="129" t="str">
        <f t="shared" si="27"/>
        <v>62</v>
      </c>
      <c r="W282" s="121">
        <f>COUNTIF($V$4:$V$286,V282)-1</f>
        <v>6</v>
      </c>
      <c r="X282" s="121"/>
      <c r="Y282" s="121"/>
      <c r="Z282" s="121"/>
      <c r="AA282" s="121"/>
    </row>
    <row r="283" spans="1:27" ht="18.75">
      <c r="A283" s="117"/>
      <c r="B283" s="117">
        <v>6300</v>
      </c>
      <c r="C283" s="117"/>
      <c r="D283" s="117" t="str">
        <f>"พัสดุ"&amp; VLOOKUP(V283,'เลขSpec.2 ตัวแรก'!$A$2:$B$100,2,FALSE)&amp; " จำนวน "&amp;W283&amp;" รายการ"</f>
        <v>พัสดุหมวด 63 ระบบให้สัญญาณและแจ้งภัย จำนวน 0 รายการ</v>
      </c>
      <c r="E283" s="117"/>
      <c r="F283" s="119"/>
      <c r="G283" s="119"/>
      <c r="H283" s="119"/>
      <c r="I283" s="117"/>
      <c r="J283" s="117"/>
      <c r="K283" s="117"/>
      <c r="L283" s="118"/>
      <c r="M283" s="117"/>
      <c r="N283" s="117"/>
      <c r="O283" s="117"/>
      <c r="P283" s="117"/>
      <c r="Q283" s="117"/>
      <c r="R283" s="119"/>
      <c r="S283" s="119"/>
      <c r="T283" s="119"/>
      <c r="U283" s="117"/>
      <c r="V283" s="117" t="str">
        <f t="shared" si="27"/>
        <v>63</v>
      </c>
      <c r="W283" s="117">
        <f>COUNTIF($V$2:$V$286,V283)-1</f>
        <v>0</v>
      </c>
      <c r="X283" s="118"/>
      <c r="Y283" s="24"/>
      <c r="Z283" s="24"/>
      <c r="AA283" s="24"/>
    </row>
    <row r="284" spans="1:27" ht="18.75">
      <c r="A284" s="117"/>
      <c r="B284" s="117">
        <v>6600</v>
      </c>
      <c r="C284" s="117"/>
      <c r="D284" s="117" t="str">
        <f>"พัสดุ"&amp; VLOOKUP(V284,'เลขSpec.2 ตัวแรก'!$A$2:$B$100,2,FALSE)&amp; " จำนวน "&amp;W284&amp;" รายการ"</f>
        <v>พัสดุหมวด 66 เครื่องวัดและบริภัณฑ์ห้องวิทยาศาสตร์ จำนวน 2 รายการ</v>
      </c>
      <c r="E284" s="119"/>
      <c r="F284" s="119"/>
      <c r="G284" s="119"/>
      <c r="H284" s="117"/>
      <c r="I284" s="117"/>
      <c r="J284" s="117"/>
      <c r="K284" s="117"/>
      <c r="L284" s="117"/>
      <c r="M284" s="117"/>
      <c r="N284" s="119"/>
      <c r="O284" s="119"/>
      <c r="P284" s="119"/>
      <c r="Q284" s="117"/>
      <c r="R284" s="117"/>
      <c r="S284" s="117"/>
      <c r="T284" s="117"/>
      <c r="U284" s="117"/>
      <c r="V284" s="117" t="str">
        <f t="shared" si="27"/>
        <v>66</v>
      </c>
      <c r="W284" s="119">
        <f>COUNTIF($V$4:$V$286,V284)-1</f>
        <v>2</v>
      </c>
      <c r="X284" s="119"/>
      <c r="Y284" s="119"/>
      <c r="Z284" s="117"/>
      <c r="AA284" s="117"/>
    </row>
    <row r="285" spans="1:27" ht="18.75">
      <c r="A285" s="88"/>
      <c r="B285" s="121">
        <v>6625</v>
      </c>
      <c r="C285" s="121" t="s">
        <v>37</v>
      </c>
      <c r="D285" s="88" t="s">
        <v>1168</v>
      </c>
      <c r="E285" s="121">
        <v>57</v>
      </c>
      <c r="F285" s="46" t="s">
        <v>1169</v>
      </c>
      <c r="G285" s="26" t="s">
        <v>78</v>
      </c>
      <c r="H285" s="122">
        <v>300000</v>
      </c>
      <c r="I285" s="123"/>
      <c r="J285" s="130" t="str">
        <f>HYPERLINK("https://drive.google.com/open?id=0B2rLR4BADrBtdnA4dE5IXzhlbW8","6625")</f>
        <v>6625</v>
      </c>
      <c r="K285" s="132" t="str">
        <f>HYPERLINK("https://drive.google.com/drive/folders/0BwQ57SNHxB3Bc29mbC1DY2ZNVFU","6625")</f>
        <v>6625</v>
      </c>
      <c r="L285" s="125"/>
      <c r="M285" s="46"/>
      <c r="N285" s="126"/>
      <c r="O285" s="126"/>
      <c r="P285" s="126"/>
      <c r="Q285" s="126"/>
      <c r="R285" s="126"/>
      <c r="S285" s="126"/>
      <c r="T285" s="128">
        <v>10</v>
      </c>
      <c r="U285" s="128">
        <f t="shared" ref="U285:U290" si="43">E285+T285-2+2500</f>
        <v>2565</v>
      </c>
      <c r="V285" s="129" t="str">
        <f t="shared" si="27"/>
        <v>66</v>
      </c>
      <c r="W285" s="121">
        <f>COUNTIF('52-62 (สำหรับ จก.ตรวจเยี่ยม)'!$V$4:$V$286,V285)-1</f>
        <v>2</v>
      </c>
      <c r="X285" s="121"/>
      <c r="Y285" s="121"/>
      <c r="Z285" s="121"/>
      <c r="AA285" s="121"/>
    </row>
    <row r="286" spans="1:27" ht="18.75">
      <c r="A286" s="88"/>
      <c r="B286" s="121">
        <v>6630</v>
      </c>
      <c r="C286" s="121" t="s">
        <v>256</v>
      </c>
      <c r="D286" s="88" t="s">
        <v>1170</v>
      </c>
      <c r="E286" s="121">
        <v>54</v>
      </c>
      <c r="F286" s="46" t="s">
        <v>1171</v>
      </c>
      <c r="G286" s="26" t="s">
        <v>78</v>
      </c>
      <c r="H286" s="122">
        <v>20000</v>
      </c>
      <c r="I286" s="123"/>
      <c r="J286" s="130" t="str">
        <f>HYPERLINK("https://drive.google.com/open?id=0B2rLR4BADrBtZnpYNFBJZDFfSUk","6630")</f>
        <v>6630</v>
      </c>
      <c r="K286" s="132" t="str">
        <f>HYPERLINK("https://drive.google.com/drive/folders/0BwQ57SNHxB3BWl9JMnhJVnpmZXc","6630")</f>
        <v>6630</v>
      </c>
      <c r="L286" s="125"/>
      <c r="M286" s="46"/>
      <c r="N286" s="126"/>
      <c r="O286" s="126"/>
      <c r="P286" s="126"/>
      <c r="Q286" s="126"/>
      <c r="R286" s="126"/>
      <c r="S286" s="126"/>
      <c r="T286" s="128">
        <v>10</v>
      </c>
      <c r="U286" s="128">
        <f t="shared" si="43"/>
        <v>2562</v>
      </c>
      <c r="V286" s="129" t="str">
        <f t="shared" si="27"/>
        <v>66</v>
      </c>
      <c r="W286" s="121">
        <f>COUNTIF($V$4:$V$286,V286)-1</f>
        <v>2</v>
      </c>
      <c r="X286" s="121"/>
      <c r="Y286" s="121"/>
      <c r="Z286" s="121"/>
      <c r="AA286" s="121"/>
    </row>
    <row r="287" spans="1:27" ht="18.75">
      <c r="A287" s="88"/>
      <c r="B287" s="121">
        <v>6630</v>
      </c>
      <c r="C287" s="121" t="s">
        <v>256</v>
      </c>
      <c r="D287" s="88" t="s">
        <v>1172</v>
      </c>
      <c r="E287" s="121">
        <v>52</v>
      </c>
      <c r="F287" s="46" t="s">
        <v>1173</v>
      </c>
      <c r="G287" s="26" t="s">
        <v>78</v>
      </c>
      <c r="H287" s="122">
        <v>5000</v>
      </c>
      <c r="I287" s="123"/>
      <c r="J287" s="130" t="str">
        <f>HYPERLINK("https://drive.google.com/open?id=0B2rLR4BADrBtamRxMHBZMmVlSmc","6630")</f>
        <v>6630</v>
      </c>
      <c r="K287" s="132" t="str">
        <f>HYPERLINK("https://drive.google.com/drive/folders/0BwQ57SNHxB3BWl9JMnhJVnpmZXc","6630")</f>
        <v>6630</v>
      </c>
      <c r="L287" s="125"/>
      <c r="M287" s="46"/>
      <c r="N287" s="126"/>
      <c r="O287" s="126"/>
      <c r="P287" s="126"/>
      <c r="Q287" s="126"/>
      <c r="R287" s="126"/>
      <c r="S287" s="126"/>
      <c r="T287" s="128">
        <v>10</v>
      </c>
      <c r="U287" s="128">
        <f t="shared" si="43"/>
        <v>2560</v>
      </c>
      <c r="V287" s="129" t="str">
        <f t="shared" si="27"/>
        <v>66</v>
      </c>
      <c r="W287" s="121">
        <f>COUNTIF('52-62 (สำหรับ จก.ตรวจเยี่ยม)'!$V$4:$V$286,V287)-1</f>
        <v>2</v>
      </c>
      <c r="X287" s="121"/>
      <c r="Y287" s="121"/>
      <c r="Z287" s="121"/>
      <c r="AA287" s="121"/>
    </row>
    <row r="288" spans="1:27" ht="18.75">
      <c r="A288" s="88"/>
      <c r="B288" s="121">
        <v>6630</v>
      </c>
      <c r="C288" s="121" t="s">
        <v>256</v>
      </c>
      <c r="D288" s="88" t="s">
        <v>1174</v>
      </c>
      <c r="E288" s="121">
        <v>54</v>
      </c>
      <c r="F288" s="46" t="s">
        <v>1175</v>
      </c>
      <c r="G288" s="26" t="s">
        <v>78</v>
      </c>
      <c r="H288" s="122">
        <v>35000</v>
      </c>
      <c r="I288" s="123"/>
      <c r="J288" s="130" t="str">
        <f>HYPERLINK("https://drive.google.com/open?id=0B2rLR4BADrBtNktQNEV0Ry1UbnM","6630")</f>
        <v>6630</v>
      </c>
      <c r="K288" s="132" t="str">
        <f>HYPERLINK("https://drive.google.com/drive/folders/0BwQ57SNHxB3BWl9JMnhJVnpmZXc","6630")</f>
        <v>6630</v>
      </c>
      <c r="L288" s="125"/>
      <c r="M288" s="46"/>
      <c r="N288" s="126"/>
      <c r="O288" s="126"/>
      <c r="P288" s="126"/>
      <c r="Q288" s="126"/>
      <c r="R288" s="126"/>
      <c r="S288" s="126"/>
      <c r="T288" s="128">
        <v>10</v>
      </c>
      <c r="U288" s="128">
        <f t="shared" si="43"/>
        <v>2562</v>
      </c>
      <c r="V288" s="129" t="str">
        <f t="shared" si="27"/>
        <v>66</v>
      </c>
      <c r="W288" s="121">
        <f>COUNTIF('52-62 (สำหรับ จก.ตรวจเยี่ยม)'!$V$4:$V$286,V288)-1</f>
        <v>2</v>
      </c>
      <c r="X288" s="121"/>
      <c r="Y288" s="121"/>
      <c r="Z288" s="121"/>
      <c r="AA288" s="121"/>
    </row>
    <row r="289" spans="1:27" ht="37.5">
      <c r="A289" s="88"/>
      <c r="B289" s="121">
        <v>6635</v>
      </c>
      <c r="C289" s="121" t="s">
        <v>372</v>
      </c>
      <c r="D289" s="88" t="s">
        <v>1176</v>
      </c>
      <c r="E289" s="121">
        <v>60</v>
      </c>
      <c r="F289" s="46" t="s">
        <v>1177</v>
      </c>
      <c r="G289" s="26" t="s">
        <v>78</v>
      </c>
      <c r="H289" s="122">
        <v>130000</v>
      </c>
      <c r="I289" s="154">
        <v>22044</v>
      </c>
      <c r="J289" s="130" t="str">
        <f>HYPERLINK("https://drive.google.com/open?id=0B2vBTVEfSzItRFlqbDlpNHd2R0k","6635")</f>
        <v>6635</v>
      </c>
      <c r="K289" s="125"/>
      <c r="L289" s="88" t="s">
        <v>1178</v>
      </c>
      <c r="M289" s="46"/>
      <c r="N289" s="126"/>
      <c r="O289" s="126"/>
      <c r="P289" s="126"/>
      <c r="Q289" s="126"/>
      <c r="R289" s="126"/>
      <c r="S289" s="126"/>
      <c r="T289" s="135">
        <v>10</v>
      </c>
      <c r="U289" s="135">
        <f t="shared" si="43"/>
        <v>2568</v>
      </c>
      <c r="V289" s="129" t="str">
        <f t="shared" si="27"/>
        <v>66</v>
      </c>
      <c r="W289" s="121">
        <f>COUNTIF('52-62 (สำหรับ จก.ตรวจเยี่ยม)'!$V$4:$V$286,V289)-1</f>
        <v>2</v>
      </c>
      <c r="X289" s="121" t="s">
        <v>384</v>
      </c>
      <c r="Y289" s="121"/>
      <c r="Z289" s="121"/>
      <c r="AA289" s="121"/>
    </row>
    <row r="290" spans="1:27" ht="18.75">
      <c r="A290" s="88"/>
      <c r="B290" s="121">
        <v>6635</v>
      </c>
      <c r="C290" s="121" t="s">
        <v>372</v>
      </c>
      <c r="D290" s="121" t="s">
        <v>1179</v>
      </c>
      <c r="E290" s="121">
        <v>60</v>
      </c>
      <c r="F290" s="46" t="s">
        <v>817</v>
      </c>
      <c r="G290" s="26" t="s">
        <v>78</v>
      </c>
      <c r="H290" s="122">
        <v>1350000</v>
      </c>
      <c r="I290" s="123">
        <v>22139</v>
      </c>
      <c r="J290" s="130" t="str">
        <f>HYPERLINK("https://drive.google.com/open?id=0B2vBTVEfSzItSHNVa2NISUk0SVE","6635")</f>
        <v>6635</v>
      </c>
      <c r="K290" s="125"/>
      <c r="L290" s="88" t="s">
        <v>1180</v>
      </c>
      <c r="M290" s="155"/>
      <c r="N290" s="126"/>
      <c r="O290" s="126"/>
      <c r="P290" s="126"/>
      <c r="Q290" s="126"/>
      <c r="R290" s="126"/>
      <c r="S290" s="126"/>
      <c r="T290" s="135">
        <v>10</v>
      </c>
      <c r="U290" s="135">
        <f t="shared" si="43"/>
        <v>2568</v>
      </c>
      <c r="V290" s="129" t="str">
        <f t="shared" si="27"/>
        <v>66</v>
      </c>
      <c r="W290" s="121">
        <f>COUNTIF('52-62 (สำหรับ จก.ตรวจเยี่ยม)'!$V$4:$V$286,V290)-1</f>
        <v>2</v>
      </c>
      <c r="X290" s="121" t="s">
        <v>384</v>
      </c>
      <c r="Y290" s="121"/>
      <c r="Z290" s="121"/>
      <c r="AA290" s="121"/>
    </row>
    <row r="291" spans="1:27" ht="18.75">
      <c r="A291" s="88"/>
      <c r="B291" s="121">
        <v>6635</v>
      </c>
      <c r="C291" s="121" t="s">
        <v>372</v>
      </c>
      <c r="D291" s="121" t="s">
        <v>1181</v>
      </c>
      <c r="E291" s="121">
        <v>61</v>
      </c>
      <c r="F291" s="46" t="s">
        <v>1182</v>
      </c>
      <c r="G291" s="26" t="s">
        <v>78</v>
      </c>
      <c r="H291" s="122">
        <v>990000</v>
      </c>
      <c r="I291" s="123"/>
      <c r="J291" s="130" t="str">
        <f>HYPERLINK("https://drive.google.com/open?id=1G3nu2a5YOSCtJmWbjlrkU5HdlLSFNHHx","6635")</f>
        <v>6635</v>
      </c>
      <c r="K291" s="125"/>
      <c r="L291" s="148">
        <v>6635356816229</v>
      </c>
      <c r="M291" s="46"/>
      <c r="N291" s="126"/>
      <c r="O291" s="126"/>
      <c r="P291" s="126"/>
      <c r="Q291" s="126"/>
      <c r="R291" s="126"/>
      <c r="S291" s="126"/>
      <c r="T291" s="135"/>
      <c r="U291" s="128"/>
      <c r="V291" s="129" t="str">
        <f t="shared" si="27"/>
        <v>66</v>
      </c>
      <c r="W291" s="121">
        <f>COUNTIF('52-62 (สำหรับ จก.ตรวจเยี่ยม)'!$V$4:$V$286,V291)-1</f>
        <v>2</v>
      </c>
      <c r="X291" s="121" t="s">
        <v>384</v>
      </c>
      <c r="Y291" s="121"/>
      <c r="Z291" s="121"/>
      <c r="AA291" s="121"/>
    </row>
    <row r="292" spans="1:27" ht="37.5">
      <c r="A292" s="88"/>
      <c r="B292" s="121">
        <v>6635</v>
      </c>
      <c r="C292" s="121" t="s">
        <v>372</v>
      </c>
      <c r="D292" s="88" t="s">
        <v>1183</v>
      </c>
      <c r="E292" s="121">
        <v>61</v>
      </c>
      <c r="F292" s="46" t="s">
        <v>1184</v>
      </c>
      <c r="G292" s="26" t="s">
        <v>53</v>
      </c>
      <c r="H292" s="122">
        <v>825000</v>
      </c>
      <c r="I292" s="123">
        <v>43258</v>
      </c>
      <c r="J292" s="130" t="str">
        <f>HYPERLINK("https://drive.google.com/open?id=1QN5WobtgQ0w2Geq2x1LJuYHJqgCpQzmn","6635")</f>
        <v>6635</v>
      </c>
      <c r="K292" s="125"/>
      <c r="L292" s="88">
        <v>6675356816708</v>
      </c>
      <c r="M292" s="46"/>
      <c r="N292" s="126"/>
      <c r="O292" s="126"/>
      <c r="P292" s="126"/>
      <c r="Q292" s="126"/>
      <c r="R292" s="126"/>
      <c r="S292" s="126"/>
      <c r="T292" s="135"/>
      <c r="U292" s="128"/>
      <c r="V292" s="129" t="str">
        <f t="shared" si="27"/>
        <v>66</v>
      </c>
      <c r="W292" s="121">
        <f t="shared" ref="W292:W298" si="44">COUNTIF($V$4:$V$286,V292)-1</f>
        <v>2</v>
      </c>
      <c r="X292" s="121" t="s">
        <v>384</v>
      </c>
      <c r="Y292" s="121"/>
      <c r="Z292" s="121"/>
      <c r="AA292" s="121"/>
    </row>
    <row r="293" spans="1:27" ht="18.75">
      <c r="A293" s="88"/>
      <c r="B293" s="121">
        <v>6635</v>
      </c>
      <c r="C293" s="121" t="s">
        <v>372</v>
      </c>
      <c r="D293" s="121" t="s">
        <v>1185</v>
      </c>
      <c r="E293" s="121">
        <v>60</v>
      </c>
      <c r="F293" s="46" t="s">
        <v>1186</v>
      </c>
      <c r="G293" s="26" t="s">
        <v>53</v>
      </c>
      <c r="H293" s="122">
        <v>160000</v>
      </c>
      <c r="I293" s="123">
        <v>42719</v>
      </c>
      <c r="J293" s="130" t="str">
        <f>HYPERLINK("https://drive.google.com/open?id=0B2vBTVEfSzItZWF2MkQ2cnNlRlk","6635")</f>
        <v>6635</v>
      </c>
      <c r="K293" s="125"/>
      <c r="L293" s="88" t="s">
        <v>1187</v>
      </c>
      <c r="M293" s="46"/>
      <c r="N293" s="126"/>
      <c r="O293" s="126"/>
      <c r="P293" s="126"/>
      <c r="Q293" s="126"/>
      <c r="R293" s="126"/>
      <c r="S293" s="126"/>
      <c r="T293" s="135">
        <v>10</v>
      </c>
      <c r="U293" s="135">
        <f>E293+T293-2+2500</f>
        <v>2568</v>
      </c>
      <c r="V293" s="129" t="str">
        <f t="shared" si="27"/>
        <v>66</v>
      </c>
      <c r="W293" s="121">
        <f t="shared" si="44"/>
        <v>2</v>
      </c>
      <c r="X293" s="121" t="s">
        <v>384</v>
      </c>
      <c r="Y293" s="121"/>
      <c r="Z293" s="121"/>
      <c r="AA293" s="121"/>
    </row>
    <row r="294" spans="1:27" ht="18.75">
      <c r="A294" s="88"/>
      <c r="B294" s="121">
        <v>6635</v>
      </c>
      <c r="C294" s="121" t="s">
        <v>372</v>
      </c>
      <c r="D294" s="121" t="s">
        <v>1188</v>
      </c>
      <c r="E294" s="121">
        <v>60</v>
      </c>
      <c r="F294" s="46" t="s">
        <v>1189</v>
      </c>
      <c r="G294" s="26" t="s">
        <v>53</v>
      </c>
      <c r="H294" s="122">
        <v>1250000</v>
      </c>
      <c r="I294" s="123">
        <v>42719</v>
      </c>
      <c r="J294" s="130" t="str">
        <f>HYPERLINK("https://drive.google.com/open?id=0B2vBTVEfSzItSlJJUF9hUEZYZWM","6635")</f>
        <v>6635</v>
      </c>
      <c r="K294" s="125"/>
      <c r="L294" s="88" t="s">
        <v>1190</v>
      </c>
      <c r="M294" s="46"/>
      <c r="N294" s="126"/>
      <c r="O294" s="126"/>
      <c r="P294" s="126"/>
      <c r="Q294" s="126"/>
      <c r="R294" s="126"/>
      <c r="S294" s="126"/>
      <c r="T294" s="135">
        <v>10</v>
      </c>
      <c r="U294" s="135">
        <f>E294+T294-2+2500</f>
        <v>2568</v>
      </c>
      <c r="V294" s="129" t="str">
        <f t="shared" si="27"/>
        <v>66</v>
      </c>
      <c r="W294" s="121">
        <f t="shared" si="44"/>
        <v>2</v>
      </c>
      <c r="X294" s="121" t="s">
        <v>384</v>
      </c>
      <c r="Y294" s="121"/>
      <c r="Z294" s="121"/>
      <c r="AA294" s="121"/>
    </row>
    <row r="295" spans="1:27" ht="37.5">
      <c r="A295" s="88"/>
      <c r="B295" s="121">
        <v>6635</v>
      </c>
      <c r="C295" s="121" t="s">
        <v>372</v>
      </c>
      <c r="D295" s="88" t="s">
        <v>1191</v>
      </c>
      <c r="E295" s="121">
        <v>56</v>
      </c>
      <c r="F295" s="46" t="s">
        <v>1192</v>
      </c>
      <c r="G295" s="26" t="s">
        <v>53</v>
      </c>
      <c r="H295" s="122">
        <v>150000</v>
      </c>
      <c r="I295" s="123"/>
      <c r="J295" s="130" t="str">
        <f>HYPERLINK("https://drive.google.com/open?id=0B2rLR4BADrBtWHdNMjRnUHBxMFk","6635")</f>
        <v>6635</v>
      </c>
      <c r="K295" s="132" t="str">
        <f>HYPERLINK("https://drive.google.com/drive/folders/0BwN2QqBc2z4QfnY4U0JvR3FXcU9udlB0YUJXLUx0M05yMkZiRi0tbjJZR2lvUnBCLWc0bjg","6635")</f>
        <v>6635</v>
      </c>
      <c r="L295" s="88" t="s">
        <v>1194</v>
      </c>
      <c r="M295" s="46"/>
      <c r="N295" s="126"/>
      <c r="O295" s="126"/>
      <c r="P295" s="126"/>
      <c r="Q295" s="126"/>
      <c r="R295" s="126"/>
      <c r="S295" s="126"/>
      <c r="T295" s="135">
        <v>10</v>
      </c>
      <c r="U295" s="135">
        <f>E295+T295-2+2500</f>
        <v>2564</v>
      </c>
      <c r="V295" s="129" t="str">
        <f t="shared" si="27"/>
        <v>66</v>
      </c>
      <c r="W295" s="121">
        <f t="shared" si="44"/>
        <v>2</v>
      </c>
      <c r="X295" s="121" t="s">
        <v>384</v>
      </c>
      <c r="Y295" s="121"/>
      <c r="Z295" s="121"/>
      <c r="AA295" s="121"/>
    </row>
    <row r="296" spans="1:27" ht="18.75">
      <c r="A296" s="88"/>
      <c r="B296" s="121">
        <v>6635</v>
      </c>
      <c r="C296" s="121" t="s">
        <v>372</v>
      </c>
      <c r="D296" s="121" t="s">
        <v>1206</v>
      </c>
      <c r="E296" s="121">
        <v>60</v>
      </c>
      <c r="F296" s="46" t="s">
        <v>1207</v>
      </c>
      <c r="G296" s="26" t="s">
        <v>53</v>
      </c>
      <c r="H296" s="122">
        <v>802500</v>
      </c>
      <c r="I296" s="123"/>
      <c r="J296" s="130" t="str">
        <f>HYPERLINK("https://drive.google.com/open?id=0B2vBTVEfSzItbzdwZGpwVXRmcnM","6635")</f>
        <v>6635</v>
      </c>
      <c r="K296" s="125"/>
      <c r="L296" s="88" t="s">
        <v>1208</v>
      </c>
      <c r="M296" s="46"/>
      <c r="N296" s="126"/>
      <c r="O296" s="126"/>
      <c r="P296" s="126"/>
      <c r="Q296" s="126"/>
      <c r="R296" s="126"/>
      <c r="S296" s="126"/>
      <c r="T296" s="135">
        <v>10</v>
      </c>
      <c r="U296" s="135">
        <f>E296+T296-2+2500</f>
        <v>2568</v>
      </c>
      <c r="V296" s="129" t="str">
        <f t="shared" si="27"/>
        <v>66</v>
      </c>
      <c r="W296" s="121">
        <f t="shared" si="44"/>
        <v>2</v>
      </c>
      <c r="X296" s="121" t="s">
        <v>384</v>
      </c>
      <c r="Y296" s="121"/>
      <c r="Z296" s="121"/>
      <c r="AA296" s="121"/>
    </row>
    <row r="297" spans="1:27" ht="18.75">
      <c r="A297" s="88"/>
      <c r="B297" s="121">
        <v>6635</v>
      </c>
      <c r="C297" s="121" t="s">
        <v>372</v>
      </c>
      <c r="D297" s="121" t="s">
        <v>1209</v>
      </c>
      <c r="E297" s="121">
        <v>60</v>
      </c>
      <c r="F297" s="46" t="s">
        <v>1210</v>
      </c>
      <c r="G297" s="26" t="s">
        <v>53</v>
      </c>
      <c r="H297" s="122">
        <v>100000</v>
      </c>
      <c r="I297" s="123">
        <v>42719</v>
      </c>
      <c r="J297" s="130" t="str">
        <f>HYPERLINK("https://drive.google.com/open?id=0B2vBTVEfSzItQXNxZGZ6VUZfUWc","6635")</f>
        <v>6635</v>
      </c>
      <c r="K297" s="125"/>
      <c r="L297" s="88" t="s">
        <v>1211</v>
      </c>
      <c r="M297" s="46"/>
      <c r="N297" s="126"/>
      <c r="O297" s="126"/>
      <c r="P297" s="126"/>
      <c r="Q297" s="126"/>
      <c r="R297" s="126"/>
      <c r="S297" s="126"/>
      <c r="T297" s="135">
        <v>10</v>
      </c>
      <c r="U297" s="135">
        <f>E297+T297-2+2500</f>
        <v>2568</v>
      </c>
      <c r="V297" s="129" t="str">
        <f t="shared" si="27"/>
        <v>66</v>
      </c>
      <c r="W297" s="121">
        <f t="shared" si="44"/>
        <v>2</v>
      </c>
      <c r="X297" s="121" t="s">
        <v>384</v>
      </c>
      <c r="Y297" s="121"/>
      <c r="Z297" s="121"/>
      <c r="AA297" s="121"/>
    </row>
    <row r="298" spans="1:27" ht="37.5">
      <c r="A298" s="88"/>
      <c r="B298" s="121">
        <v>6635</v>
      </c>
      <c r="C298" s="121" t="s">
        <v>372</v>
      </c>
      <c r="D298" s="88" t="s">
        <v>1212</v>
      </c>
      <c r="E298" s="121">
        <v>61</v>
      </c>
      <c r="F298" s="46" t="s">
        <v>824</v>
      </c>
      <c r="G298" s="26" t="s">
        <v>53</v>
      </c>
      <c r="H298" s="122">
        <v>1500000</v>
      </c>
      <c r="I298" s="123"/>
      <c r="J298" s="130" t="str">
        <f>HYPERLINK("https://drive.google.com/open?id=1qJZuPAENw5gPH9hpeMH6iNXpQnE12nDV","6635")</f>
        <v>6635</v>
      </c>
      <c r="K298" s="125"/>
      <c r="L298" s="88" t="s">
        <v>1213</v>
      </c>
      <c r="M298" s="46"/>
      <c r="N298" s="126"/>
      <c r="O298" s="126"/>
      <c r="P298" s="126"/>
      <c r="Q298" s="126"/>
      <c r="R298" s="126"/>
      <c r="S298" s="126"/>
      <c r="T298" s="135"/>
      <c r="U298" s="128"/>
      <c r="V298" s="129" t="str">
        <f t="shared" si="27"/>
        <v>66</v>
      </c>
      <c r="W298" s="121">
        <f t="shared" si="44"/>
        <v>2</v>
      </c>
      <c r="X298" s="121" t="s">
        <v>384</v>
      </c>
      <c r="Y298" s="121"/>
      <c r="Z298" s="121"/>
      <c r="AA298" s="121"/>
    </row>
    <row r="299" spans="1:27" ht="18.75">
      <c r="A299" s="88"/>
      <c r="B299" s="121">
        <v>6635</v>
      </c>
      <c r="C299" s="121" t="s">
        <v>372</v>
      </c>
      <c r="D299" s="121" t="s">
        <v>1214</v>
      </c>
      <c r="E299" s="121">
        <v>60</v>
      </c>
      <c r="F299" s="46" t="s">
        <v>1215</v>
      </c>
      <c r="G299" s="26" t="s">
        <v>78</v>
      </c>
      <c r="H299" s="122">
        <v>150000</v>
      </c>
      <c r="I299" s="123"/>
      <c r="J299" s="130" t="str">
        <f>HYPERLINK("https://drive.google.com/open?id=0B2vBTVEfSzItT2VpNVV3TWJBaWc","6635")</f>
        <v>6635</v>
      </c>
      <c r="K299" s="125"/>
      <c r="L299" s="88" t="s">
        <v>1216</v>
      </c>
      <c r="M299" s="46"/>
      <c r="N299" s="126"/>
      <c r="O299" s="126"/>
      <c r="P299" s="126"/>
      <c r="Q299" s="126"/>
      <c r="R299" s="126"/>
      <c r="S299" s="126"/>
      <c r="T299" s="135">
        <v>10</v>
      </c>
      <c r="U299" s="135">
        <f t="shared" ref="U299:U305" si="45">E299+T299-2+2500</f>
        <v>2568</v>
      </c>
      <c r="V299" s="129" t="str">
        <f t="shared" si="27"/>
        <v>66</v>
      </c>
      <c r="W299" s="121">
        <f>COUNTIF('52-62 (สำหรับ จก.ตรวจเยี่ยม)'!$V$4:$V$286,V299)-1</f>
        <v>2</v>
      </c>
      <c r="X299" s="121" t="s">
        <v>384</v>
      </c>
      <c r="Y299" s="121"/>
      <c r="Z299" s="121"/>
      <c r="AA299" s="121"/>
    </row>
    <row r="300" spans="1:27" ht="18.75">
      <c r="A300" s="88"/>
      <c r="B300" s="121">
        <v>6675</v>
      </c>
      <c r="C300" s="121" t="s">
        <v>372</v>
      </c>
      <c r="D300" s="88" t="s">
        <v>1217</v>
      </c>
      <c r="E300" s="121">
        <v>58</v>
      </c>
      <c r="F300" s="46" t="s">
        <v>1218</v>
      </c>
      <c r="G300" s="26" t="s">
        <v>78</v>
      </c>
      <c r="H300" s="122">
        <v>56000</v>
      </c>
      <c r="I300" s="123"/>
      <c r="J300" s="130" t="str">
        <f>HYPERLINK("https://drive.google.com/open?id=0B2vBTVEfSzItd1I2am1pNTV4QWc","6675")</f>
        <v>6675</v>
      </c>
      <c r="K300" s="132" t="str">
        <f>HYPERLINK("https://drive.google.com/drive/folders/0BwQ57SNHxB3BcFJfdHFXV2VQcDQ","6675")</f>
        <v>6675</v>
      </c>
      <c r="L300" s="148">
        <v>6675357069807</v>
      </c>
      <c r="M300" s="46"/>
      <c r="N300" s="126"/>
      <c r="O300" s="126"/>
      <c r="P300" s="126"/>
      <c r="Q300" s="126"/>
      <c r="R300" s="126"/>
      <c r="S300" s="126"/>
      <c r="T300" s="135">
        <v>10</v>
      </c>
      <c r="U300" s="135">
        <f t="shared" si="45"/>
        <v>2566</v>
      </c>
      <c r="V300" s="129" t="str">
        <f t="shared" si="27"/>
        <v>66</v>
      </c>
      <c r="W300" s="121">
        <f>COUNTIF($V$4:$V$286,V300)-1</f>
        <v>2</v>
      </c>
      <c r="X300" s="121" t="s">
        <v>1219</v>
      </c>
      <c r="Y300" s="121"/>
      <c r="Z300" s="121"/>
      <c r="AA300" s="121"/>
    </row>
    <row r="301" spans="1:27" ht="37.5">
      <c r="A301" s="88"/>
      <c r="B301" s="121">
        <v>6675</v>
      </c>
      <c r="C301" s="121" t="s">
        <v>372</v>
      </c>
      <c r="D301" s="88" t="s">
        <v>1220</v>
      </c>
      <c r="E301" s="121">
        <v>59</v>
      </c>
      <c r="F301" s="46" t="s">
        <v>1221</v>
      </c>
      <c r="G301" s="26" t="s">
        <v>78</v>
      </c>
      <c r="H301" s="122">
        <v>23000</v>
      </c>
      <c r="I301" s="123"/>
      <c r="J301" s="130" t="str">
        <f>HYPERLINK("https://drive.google.com/open?id=0B2vBTVEfSzItQncxdE9LZTQxY00","6675")</f>
        <v>6675</v>
      </c>
      <c r="K301" s="125"/>
      <c r="L301" s="88" t="s">
        <v>1222</v>
      </c>
      <c r="M301" s="46"/>
      <c r="N301" s="126"/>
      <c r="O301" s="126"/>
      <c r="P301" s="126"/>
      <c r="Q301" s="126"/>
      <c r="R301" s="126"/>
      <c r="S301" s="126"/>
      <c r="T301" s="135">
        <v>10</v>
      </c>
      <c r="U301" s="135">
        <f t="shared" si="45"/>
        <v>2567</v>
      </c>
      <c r="V301" s="129" t="str">
        <f t="shared" si="27"/>
        <v>66</v>
      </c>
      <c r="W301" s="121">
        <f>COUNTIF('52-62 (สำหรับ จก.ตรวจเยี่ยม)'!$V$4:$V$286,V301)-1</f>
        <v>2</v>
      </c>
      <c r="X301" s="121" t="s">
        <v>1219</v>
      </c>
      <c r="Y301" s="121"/>
      <c r="Z301" s="121"/>
      <c r="AA301" s="121"/>
    </row>
    <row r="302" spans="1:27" ht="37.5">
      <c r="A302" s="88"/>
      <c r="B302" s="121">
        <v>6675</v>
      </c>
      <c r="C302" s="121" t="s">
        <v>372</v>
      </c>
      <c r="D302" s="88" t="s">
        <v>1223</v>
      </c>
      <c r="E302" s="121">
        <v>59</v>
      </c>
      <c r="F302" s="46" t="s">
        <v>1224</v>
      </c>
      <c r="G302" s="26" t="s">
        <v>78</v>
      </c>
      <c r="H302" s="122">
        <v>900000</v>
      </c>
      <c r="I302" s="123"/>
      <c r="J302" s="130" t="str">
        <f>HYPERLINK("https://drive.google.com/open?id=0B2vBTVEfSzItV2NMUG9uSnFIZ28","6675")</f>
        <v>6675</v>
      </c>
      <c r="K302" s="125"/>
      <c r="L302" s="148" t="s">
        <v>1225</v>
      </c>
      <c r="M302" s="46"/>
      <c r="N302" s="126"/>
      <c r="O302" s="126"/>
      <c r="P302" s="126"/>
      <c r="Q302" s="126"/>
      <c r="R302" s="126"/>
      <c r="S302" s="126"/>
      <c r="T302" s="135">
        <v>10</v>
      </c>
      <c r="U302" s="135">
        <f t="shared" si="45"/>
        <v>2567</v>
      </c>
      <c r="V302" s="129" t="str">
        <f t="shared" si="27"/>
        <v>66</v>
      </c>
      <c r="W302" s="121">
        <f>COUNTIF('52-62 (สำหรับ จก.ตรวจเยี่ยม)'!$V$4:$V$286,V302)-1</f>
        <v>2</v>
      </c>
      <c r="X302" s="121" t="s">
        <v>1219</v>
      </c>
      <c r="Y302" s="121"/>
      <c r="Z302" s="121"/>
      <c r="AA302" s="121"/>
    </row>
    <row r="303" spans="1:27" ht="18.75">
      <c r="A303" s="88"/>
      <c r="B303" s="121">
        <v>6675</v>
      </c>
      <c r="C303" s="121" t="s">
        <v>191</v>
      </c>
      <c r="D303" s="88" t="s">
        <v>1226</v>
      </c>
      <c r="E303" s="121">
        <v>60</v>
      </c>
      <c r="F303" s="46" t="s">
        <v>1227</v>
      </c>
      <c r="G303" s="26" t="s">
        <v>78</v>
      </c>
      <c r="H303" s="122">
        <v>755000</v>
      </c>
      <c r="I303" s="123"/>
      <c r="J303" s="130" t="str">
        <f>HYPERLINK("https://drive.google.com/open?id=0B2vBTVEfSzItclIyZVFiazRaaHM","6675")</f>
        <v>6675</v>
      </c>
      <c r="K303" s="125"/>
      <c r="L303" s="148">
        <v>6675356816704</v>
      </c>
      <c r="M303" s="46"/>
      <c r="N303" s="126"/>
      <c r="O303" s="126"/>
      <c r="P303" s="126"/>
      <c r="Q303" s="126"/>
      <c r="R303" s="126"/>
      <c r="S303" s="126"/>
      <c r="T303" s="135">
        <v>10</v>
      </c>
      <c r="U303" s="135">
        <f t="shared" si="45"/>
        <v>2568</v>
      </c>
      <c r="V303" s="129" t="str">
        <f t="shared" si="27"/>
        <v>66</v>
      </c>
      <c r="W303" s="121">
        <f>COUNTIF($V$4:$V$286,V303)-1</f>
        <v>2</v>
      </c>
      <c r="X303" s="121"/>
      <c r="Y303" s="121"/>
      <c r="Z303" s="121"/>
      <c r="AA303" s="121"/>
    </row>
    <row r="304" spans="1:27" ht="18.75">
      <c r="A304" s="88"/>
      <c r="B304" s="121">
        <v>6675</v>
      </c>
      <c r="C304" s="121" t="s">
        <v>372</v>
      </c>
      <c r="D304" s="88" t="s">
        <v>1230</v>
      </c>
      <c r="E304" s="121">
        <v>58</v>
      </c>
      <c r="F304" s="46" t="s">
        <v>1231</v>
      </c>
      <c r="G304" s="26" t="s">
        <v>53</v>
      </c>
      <c r="H304" s="122">
        <v>850000</v>
      </c>
      <c r="I304" s="123"/>
      <c r="J304" s="130" t="str">
        <f>HYPERLINK("https://drive.google.com/open?id=0B2vBTVEfSzItazhLRnNHSTBOUVU","6675")</f>
        <v>6675</v>
      </c>
      <c r="K304" s="132" t="str">
        <f>HYPERLINK("https://drive.google.com/drive/folders/0BwQ57SNHxB3BcFJfdHFXV2VQcDQ","6675")</f>
        <v>6675</v>
      </c>
      <c r="L304" s="148">
        <v>6675356816706</v>
      </c>
      <c r="M304" s="46"/>
      <c r="N304" s="126"/>
      <c r="O304" s="126"/>
      <c r="P304" s="126"/>
      <c r="Q304" s="126"/>
      <c r="R304" s="126"/>
      <c r="S304" s="126"/>
      <c r="T304" s="135">
        <v>10</v>
      </c>
      <c r="U304" s="135">
        <f t="shared" si="45"/>
        <v>2566</v>
      </c>
      <c r="V304" s="129" t="str">
        <f t="shared" si="27"/>
        <v>66</v>
      </c>
      <c r="W304" s="121">
        <f>COUNTIF('52-62 (สำหรับ จก.ตรวจเยี่ยม)'!$V$4:$V$286,V304)-1</f>
        <v>2</v>
      </c>
      <c r="X304" s="121" t="s">
        <v>1234</v>
      </c>
      <c r="Y304" s="121"/>
      <c r="Z304" s="121"/>
      <c r="AA304" s="121"/>
    </row>
    <row r="305" spans="1:27" ht="18.75">
      <c r="A305" s="88"/>
      <c r="B305" s="121">
        <v>6675</v>
      </c>
      <c r="C305" s="121" t="s">
        <v>372</v>
      </c>
      <c r="D305" s="88" t="s">
        <v>1236</v>
      </c>
      <c r="E305" s="121">
        <v>60</v>
      </c>
      <c r="F305" s="46" t="s">
        <v>1237</v>
      </c>
      <c r="G305" s="26" t="s">
        <v>53</v>
      </c>
      <c r="H305" s="122">
        <v>650000</v>
      </c>
      <c r="I305" s="123"/>
      <c r="J305" s="130" t="str">
        <f>HYPERLINK("https://drive.google.com/open?id=0B2vBTVEfSzItVEpSYlJDLTBOOG8","6675")</f>
        <v>6675</v>
      </c>
      <c r="K305" s="125"/>
      <c r="L305" s="88" t="s">
        <v>1408</v>
      </c>
      <c r="M305" s="46"/>
      <c r="N305" s="126"/>
      <c r="O305" s="126"/>
      <c r="P305" s="126"/>
      <c r="Q305" s="126"/>
      <c r="R305" s="126"/>
      <c r="S305" s="126"/>
      <c r="T305" s="135">
        <v>10</v>
      </c>
      <c r="U305" s="135">
        <f t="shared" si="45"/>
        <v>2568</v>
      </c>
      <c r="V305" s="129" t="str">
        <f t="shared" si="27"/>
        <v>66</v>
      </c>
      <c r="W305" s="121">
        <f>COUNTIF('52-62 (สำหรับ จก.ตรวจเยี่ยม)'!$V$4:$V$286,V305)-1</f>
        <v>2</v>
      </c>
      <c r="X305" s="121" t="s">
        <v>1234</v>
      </c>
      <c r="Y305" s="121"/>
      <c r="Z305" s="121"/>
      <c r="AA305" s="121"/>
    </row>
    <row r="306" spans="1:27" ht="18.75">
      <c r="A306" s="88"/>
      <c r="B306" s="121">
        <v>6675</v>
      </c>
      <c r="C306" s="121" t="s">
        <v>372</v>
      </c>
      <c r="D306" s="88" t="s">
        <v>1238</v>
      </c>
      <c r="E306" s="121">
        <v>61</v>
      </c>
      <c r="F306" s="46" t="s">
        <v>1239</v>
      </c>
      <c r="G306" s="26" t="s">
        <v>78</v>
      </c>
      <c r="H306" s="122">
        <v>30000</v>
      </c>
      <c r="I306" s="123"/>
      <c r="J306" s="130" t="str">
        <f>HYPERLINK("https://drive.google.com/open?id=1iyiam8RIDV2BEjnnRtr6WsOXEZy718JF","6675")</f>
        <v>6675</v>
      </c>
      <c r="K306" s="125"/>
      <c r="L306" s="148" t="s">
        <v>1409</v>
      </c>
      <c r="M306" s="46"/>
      <c r="N306" s="126"/>
      <c r="O306" s="126"/>
      <c r="P306" s="126"/>
      <c r="Q306" s="126"/>
      <c r="R306" s="126"/>
      <c r="S306" s="126"/>
      <c r="T306" s="135"/>
      <c r="U306" s="128"/>
      <c r="V306" s="129" t="str">
        <f t="shared" si="27"/>
        <v>66</v>
      </c>
      <c r="W306" s="121">
        <f>COUNTIF('52-62 (สำหรับ จก.ตรวจเยี่ยม)'!$V$4:$V$286,V306)-1</f>
        <v>2</v>
      </c>
      <c r="X306" s="121" t="s">
        <v>1232</v>
      </c>
      <c r="Y306" s="121"/>
      <c r="Z306" s="121"/>
      <c r="AA306" s="121"/>
    </row>
    <row r="307" spans="1:27" ht="18.75">
      <c r="A307" s="88"/>
      <c r="B307" s="121">
        <v>6675</v>
      </c>
      <c r="C307" s="121" t="s">
        <v>372</v>
      </c>
      <c r="D307" s="88" t="s">
        <v>1242</v>
      </c>
      <c r="E307" s="121">
        <v>61</v>
      </c>
      <c r="F307" s="46" t="s">
        <v>1243</v>
      </c>
      <c r="G307" s="26" t="s">
        <v>53</v>
      </c>
      <c r="H307" s="122">
        <v>250000</v>
      </c>
      <c r="I307" s="123">
        <v>43268</v>
      </c>
      <c r="J307" s="130" t="str">
        <f>HYPERLINK("https://drive.google.com/open?id=1DrssG8Ed8KOxsyb06aQZ1bhIP2cWM5fM","6675")</f>
        <v>6675</v>
      </c>
      <c r="K307" s="125"/>
      <c r="L307" s="148">
        <v>6675356816705</v>
      </c>
      <c r="M307" s="155"/>
      <c r="N307" s="126"/>
      <c r="O307" s="126"/>
      <c r="P307" s="126"/>
      <c r="Q307" s="126"/>
      <c r="R307" s="126"/>
      <c r="S307" s="126"/>
      <c r="T307" s="135">
        <v>10</v>
      </c>
      <c r="U307" s="135">
        <f>E307+T307-2+2500</f>
        <v>2569</v>
      </c>
      <c r="V307" s="129" t="str">
        <f t="shared" si="27"/>
        <v>66</v>
      </c>
      <c r="W307" s="121">
        <f>COUNTIF('52-62 (สำหรับ จก.ตรวจเยี่ยม)'!$V$4:$V$286,V307)-1</f>
        <v>2</v>
      </c>
      <c r="X307" s="121" t="s">
        <v>1232</v>
      </c>
      <c r="Y307" s="121"/>
      <c r="Z307" s="121"/>
      <c r="AA307" s="121"/>
    </row>
    <row r="308" spans="1:27" ht="18.75">
      <c r="A308" s="88"/>
      <c r="B308" s="121">
        <v>6680</v>
      </c>
      <c r="C308" s="121" t="s">
        <v>256</v>
      </c>
      <c r="D308" s="88" t="s">
        <v>1249</v>
      </c>
      <c r="E308" s="121">
        <v>54</v>
      </c>
      <c r="F308" s="46" t="s">
        <v>1250</v>
      </c>
      <c r="G308" s="26" t="s">
        <v>78</v>
      </c>
      <c r="H308" s="122">
        <v>47000</v>
      </c>
      <c r="I308" s="123"/>
      <c r="J308" s="130" t="str">
        <f>HYPERLINK("https://drive.google.com/open?id=0B2rLR4BADrBtRHRoZHlqX1Q1SVE","6680")</f>
        <v>6680</v>
      </c>
      <c r="K308" s="132" t="str">
        <f>HYPERLINK("https://drive.google.com/drive/folders/0BwQ57SNHxB3Bal9ocWVaMGE1UEU","6680")</f>
        <v>6680</v>
      </c>
      <c r="L308" s="125"/>
      <c r="M308" s="46"/>
      <c r="N308" s="126"/>
      <c r="O308" s="126"/>
      <c r="P308" s="126"/>
      <c r="Q308" s="126"/>
      <c r="R308" s="126"/>
      <c r="S308" s="126"/>
      <c r="T308" s="128">
        <v>10</v>
      </c>
      <c r="U308" s="128">
        <f>E308+T308-2+2500</f>
        <v>2562</v>
      </c>
      <c r="V308" s="129" t="str">
        <f t="shared" si="27"/>
        <v>66</v>
      </c>
      <c r="W308" s="121">
        <f>COUNTIF('52-62 (สำหรับ จก.ตรวจเยี่ยม)'!$V$4:$V$286,V308)-1</f>
        <v>2</v>
      </c>
      <c r="X308" s="121"/>
      <c r="Y308" s="121"/>
      <c r="Z308" s="121"/>
      <c r="AA308" s="121"/>
    </row>
    <row r="309" spans="1:27" ht="18.75">
      <c r="A309" s="88"/>
      <c r="B309" s="121">
        <v>6680</v>
      </c>
      <c r="C309" s="121" t="s">
        <v>157</v>
      </c>
      <c r="D309" s="88" t="s">
        <v>1251</v>
      </c>
      <c r="E309" s="121">
        <v>55</v>
      </c>
      <c r="F309" s="46" t="s">
        <v>1252</v>
      </c>
      <c r="G309" s="26" t="s">
        <v>53</v>
      </c>
      <c r="H309" s="122">
        <v>4500</v>
      </c>
      <c r="I309" s="123"/>
      <c r="J309" s="130" t="str">
        <f>HYPERLINK("https://drive.google.com/open?id=0B2rLR4BADrBtdWNDWjVPdDMwb1E","6680")</f>
        <v>6680</v>
      </c>
      <c r="K309" s="132" t="str">
        <f>HYPERLINK("https://drive.google.com/drive/folders/0BwQ57SNHxB3Bal9ocWVaMGE1UEU","6680")</f>
        <v>6680</v>
      </c>
      <c r="L309" s="125"/>
      <c r="M309" s="93"/>
      <c r="N309" s="126"/>
      <c r="O309" s="126"/>
      <c r="P309" s="126"/>
      <c r="Q309" s="126"/>
      <c r="R309" s="126"/>
      <c r="S309" s="126"/>
      <c r="T309" s="135">
        <v>10</v>
      </c>
      <c r="U309" s="135">
        <f>E309+T309-2+2500</f>
        <v>2563</v>
      </c>
      <c r="V309" s="129" t="str">
        <f t="shared" si="27"/>
        <v>66</v>
      </c>
      <c r="W309" s="121">
        <f>COUNTIF($V$4:$V$286,V309)-1</f>
        <v>2</v>
      </c>
      <c r="X309" s="121"/>
      <c r="Y309" s="121"/>
      <c r="Z309" s="121"/>
      <c r="AA309" s="121"/>
    </row>
    <row r="310" spans="1:27" ht="18.75">
      <c r="A310" s="88"/>
      <c r="B310" s="121">
        <v>6685</v>
      </c>
      <c r="C310" s="121" t="s">
        <v>37</v>
      </c>
      <c r="D310" s="88" t="s">
        <v>1253</v>
      </c>
      <c r="E310" s="121">
        <v>58</v>
      </c>
      <c r="F310" s="46" t="s">
        <v>1254</v>
      </c>
      <c r="G310" s="26" t="s">
        <v>78</v>
      </c>
      <c r="H310" s="122">
        <v>225000</v>
      </c>
      <c r="I310" s="123"/>
      <c r="J310" s="130" t="str">
        <f>HYPERLINK("https://drive.google.com/open?id=0B2vBTVEfSzItd0hzdXNfNWtMM2M","6685")</f>
        <v>6685</v>
      </c>
      <c r="K310" s="133" t="str">
        <f>HYPERLINK("https://drive.google.com/drive/u/0/folders/0BwQ57SNHxB3BeEQtdlBiUmUyUk0","6685")</f>
        <v>6685</v>
      </c>
      <c r="L310" s="134"/>
      <c r="M310" s="46"/>
      <c r="N310" s="126"/>
      <c r="O310" s="126"/>
      <c r="P310" s="126"/>
      <c r="Q310" s="126"/>
      <c r="R310" s="126"/>
      <c r="S310" s="126"/>
      <c r="T310" s="135"/>
      <c r="U310" s="135">
        <f>E310+T310-2+2500</f>
        <v>2556</v>
      </c>
      <c r="V310" s="129" t="str">
        <f t="shared" si="27"/>
        <v>66</v>
      </c>
      <c r="W310" s="121">
        <f>COUNTIF('52-62 (สำหรับ จก.ตรวจเยี่ยม)'!$V$4:$V$286,V310)-1</f>
        <v>2</v>
      </c>
      <c r="X310" s="121"/>
      <c r="Y310" s="121"/>
      <c r="Z310" s="121"/>
      <c r="AA310" s="121"/>
    </row>
    <row r="311" spans="1:27" ht="18.75">
      <c r="A311" s="88"/>
      <c r="B311" s="121">
        <v>6695</v>
      </c>
      <c r="C311" s="121" t="s">
        <v>157</v>
      </c>
      <c r="D311" s="88" t="s">
        <v>1255</v>
      </c>
      <c r="E311" s="121">
        <v>62</v>
      </c>
      <c r="F311" s="46" t="s">
        <v>1256</v>
      </c>
      <c r="G311" s="26" t="s">
        <v>78</v>
      </c>
      <c r="H311" s="122">
        <v>9500</v>
      </c>
      <c r="I311" s="123"/>
      <c r="J311" s="131" t="str">
        <f>HYPERLINK("https://drive.google.com/file/d/1ymMdYkuNaWZGlzs7VPDQ1GooOKMkQq92/view?usp=sharing","6695")</f>
        <v>6695</v>
      </c>
      <c r="K311" s="125"/>
      <c r="L311" s="125"/>
      <c r="M311" s="46"/>
      <c r="N311" s="126"/>
      <c r="O311" s="126"/>
      <c r="P311" s="126"/>
      <c r="Q311" s="126"/>
      <c r="R311" s="126"/>
      <c r="S311" s="126"/>
      <c r="T311" s="128"/>
      <c r="U311" s="128"/>
      <c r="V311" s="129"/>
      <c r="W311" s="121"/>
      <c r="X311" s="121"/>
      <c r="Y311" s="121"/>
      <c r="Z311" s="121"/>
      <c r="AA311" s="121"/>
    </row>
    <row r="312" spans="1:27" ht="18.75">
      <c r="A312" s="120"/>
      <c r="B312" s="118">
        <v>6800</v>
      </c>
      <c r="C312" s="119"/>
      <c r="D312" s="117" t="str">
        <f>"พัสดุ"&amp; VLOOKUP(V312,'เลขSpec.2 ตัวแรก'!$A$2:$B$100,2,FALSE)&amp; " จำนวน "&amp;W312&amp;" รายการ"</f>
        <v>พัสดุหมวด 68 เคมีภัณฑ์และผลิตภัณฑ์เคมี จำนวน -1 รายการ</v>
      </c>
      <c r="E312" s="117"/>
      <c r="F312" s="117"/>
      <c r="G312" s="118"/>
      <c r="H312" s="117"/>
      <c r="I312" s="117"/>
      <c r="J312" s="117"/>
      <c r="K312" s="117"/>
      <c r="L312" s="117"/>
      <c r="M312" s="120"/>
      <c r="N312" s="120"/>
      <c r="O312" s="119"/>
      <c r="P312" s="117"/>
      <c r="Q312" s="117"/>
      <c r="R312" s="117"/>
      <c r="S312" s="118"/>
      <c r="T312" s="117"/>
      <c r="U312" s="117"/>
      <c r="V312" s="117" t="str">
        <f t="shared" ref="V312:V324" si="46">LEFT(B312, SEARCH("",B312,2))</f>
        <v>68</v>
      </c>
      <c r="W312" s="117">
        <f>COUNTIF($V$4:$V$286,V312)-1</f>
        <v>-1</v>
      </c>
      <c r="X312" s="117"/>
      <c r="Y312" s="24"/>
      <c r="Z312" s="24"/>
      <c r="AA312" s="24"/>
    </row>
    <row r="313" spans="1:27" ht="18.75">
      <c r="A313" s="88"/>
      <c r="B313" s="121">
        <v>6810</v>
      </c>
      <c r="C313" s="121" t="s">
        <v>683</v>
      </c>
      <c r="D313" s="88" t="s">
        <v>1257</v>
      </c>
      <c r="E313" s="121">
        <v>53</v>
      </c>
      <c r="F313" s="46" t="s">
        <v>1258</v>
      </c>
      <c r="G313" s="26" t="s">
        <v>1259</v>
      </c>
      <c r="H313" s="122">
        <v>6500</v>
      </c>
      <c r="I313" s="123"/>
      <c r="J313" s="130" t="str">
        <f>HYPERLINK("https://drive.google.com/open?id=0B2vBTVEfSzItZVlEQUM4ZUlROEU","6810")</f>
        <v>6810</v>
      </c>
      <c r="K313" s="132" t="str">
        <f>HYPERLINK("https://drive.google.com/drive/folders/0BwQ57SNHxB3BT3Z1N0FNcVRpZW8","6810")</f>
        <v>6810</v>
      </c>
      <c r="L313" s="125"/>
      <c r="M313" s="46"/>
      <c r="N313" s="126"/>
      <c r="O313" s="126"/>
      <c r="P313" s="126"/>
      <c r="Q313" s="126"/>
      <c r="R313" s="126"/>
      <c r="S313" s="126"/>
      <c r="T313" s="135" t="e">
        <f>#REF!</f>
        <v>#REF!</v>
      </c>
      <c r="U313" s="128" t="e">
        <f>E313+T313-2+2500</f>
        <v>#REF!</v>
      </c>
      <c r="V313" s="129" t="str">
        <f t="shared" si="46"/>
        <v>68</v>
      </c>
      <c r="W313" s="121">
        <f>COUNTIF($V$4:$V$286,V313)-1</f>
        <v>-1</v>
      </c>
      <c r="X313" s="121"/>
      <c r="Y313" s="121"/>
      <c r="Z313" s="121"/>
      <c r="AA313" s="121"/>
    </row>
    <row r="314" spans="1:27" ht="18.75">
      <c r="A314" s="141"/>
      <c r="B314" s="121">
        <v>6840</v>
      </c>
      <c r="C314" s="121" t="s">
        <v>191</v>
      </c>
      <c r="D314" s="88" t="s">
        <v>852</v>
      </c>
      <c r="E314" s="121">
        <v>54</v>
      </c>
      <c r="F314" s="24" t="s">
        <v>1260</v>
      </c>
      <c r="G314" s="26" t="s">
        <v>1261</v>
      </c>
      <c r="H314" s="122">
        <v>380</v>
      </c>
      <c r="I314" s="139"/>
      <c r="J314" s="156"/>
      <c r="K314" s="132" t="str">
        <f>HYPERLINK("https://drive.google.com/drive/folders/0BwQ57SNHxB3BbFU1ejZzQmxkVjg","6840")</f>
        <v>6840</v>
      </c>
      <c r="L314" s="141"/>
      <c r="M314" s="150"/>
      <c r="N314" s="142"/>
      <c r="O314" s="142"/>
      <c r="P314" s="142"/>
      <c r="Q314" s="142"/>
      <c r="R314" s="142"/>
      <c r="S314" s="142"/>
      <c r="T314" s="135" t="e">
        <f>T313</f>
        <v>#REF!</v>
      </c>
      <c r="U314" s="135" t="e">
        <f>E314+T314-2+2500</f>
        <v>#REF!</v>
      </c>
      <c r="V314" s="129" t="str">
        <f t="shared" si="46"/>
        <v>68</v>
      </c>
      <c r="W314" s="121">
        <f>COUNTIF($V$5:$V$364,V314)-1</f>
        <v>4</v>
      </c>
      <c r="X314" s="142"/>
      <c r="Y314" s="142"/>
      <c r="Z314" s="142"/>
      <c r="AA314" s="121"/>
    </row>
    <row r="315" spans="1:27" ht="18.75">
      <c r="A315" s="88"/>
      <c r="B315" s="121">
        <v>6840</v>
      </c>
      <c r="C315" s="121" t="s">
        <v>191</v>
      </c>
      <c r="D315" s="88" t="s">
        <v>1262</v>
      </c>
      <c r="E315" s="121">
        <v>58</v>
      </c>
      <c r="F315" s="46" t="s">
        <v>856</v>
      </c>
      <c r="G315" s="26" t="s">
        <v>1263</v>
      </c>
      <c r="H315" s="122">
        <v>750</v>
      </c>
      <c r="I315" s="123"/>
      <c r="J315" s="130" t="str">
        <f>HYPERLINK("https://drive.google.com/open?id=0B2rLR4BADrBtUUVUajNPRTFLZUk","6840")</f>
        <v>6840</v>
      </c>
      <c r="K315" s="132" t="str">
        <f>HYPERLINK("https://drive.google.com/drive/folders/0BwQ57SNHxB3BbFU1ejZzQmxkVjg","6840")</f>
        <v>6840</v>
      </c>
      <c r="L315" s="125"/>
      <c r="M315" s="46"/>
      <c r="N315" s="126"/>
      <c r="O315" s="126"/>
      <c r="P315" s="126"/>
      <c r="Q315" s="126"/>
      <c r="R315" s="126"/>
      <c r="S315" s="126"/>
      <c r="T315" s="135" t="e">
        <f>#REF!</f>
        <v>#REF!</v>
      </c>
      <c r="U315" s="135" t="e">
        <f>E315+T315-2+2500</f>
        <v>#REF!</v>
      </c>
      <c r="V315" s="129" t="str">
        <f t="shared" si="46"/>
        <v>68</v>
      </c>
      <c r="W315" s="121">
        <f>COUNTIF($V$4:$V$286,V315)-1</f>
        <v>-1</v>
      </c>
      <c r="X315" s="121"/>
      <c r="Y315" s="121"/>
      <c r="Z315" s="121"/>
      <c r="AA315" s="121"/>
    </row>
    <row r="316" spans="1:27" ht="18.75">
      <c r="A316" s="88"/>
      <c r="B316" s="121">
        <v>6840</v>
      </c>
      <c r="C316" s="121" t="s">
        <v>191</v>
      </c>
      <c r="D316" s="88" t="s">
        <v>1264</v>
      </c>
      <c r="E316" s="121">
        <v>58</v>
      </c>
      <c r="F316" s="46" t="s">
        <v>1265</v>
      </c>
      <c r="G316" s="26" t="s">
        <v>1266</v>
      </c>
      <c r="H316" s="122">
        <v>1000</v>
      </c>
      <c r="I316" s="123"/>
      <c r="J316" s="130" t="str">
        <f>HYPERLINK("https://drive.google.com/open?id=0B2vBTVEfSzItfnpkNEtkT0txY1NGOGk0OU1GRXRiYXdtUnZDUXVWeTM4QTJGOUxSTERvSk0","6840")</f>
        <v>6840</v>
      </c>
      <c r="K316" s="132" t="str">
        <f>HYPERLINK("https://drive.google.com/drive/folders/0BwQ57SNHxB3BbFU1ejZzQmxkVjg","6840")</f>
        <v>6840</v>
      </c>
      <c r="L316" s="125"/>
      <c r="M316" s="46"/>
      <c r="N316" s="126"/>
      <c r="O316" s="126"/>
      <c r="P316" s="126"/>
      <c r="Q316" s="126"/>
      <c r="R316" s="126"/>
      <c r="S316" s="126"/>
      <c r="T316" s="135" t="e">
        <f>T315</f>
        <v>#REF!</v>
      </c>
      <c r="U316" s="128" t="e">
        <f>E316+T316-2+2500</f>
        <v>#REF!</v>
      </c>
      <c r="V316" s="129" t="str">
        <f t="shared" si="46"/>
        <v>68</v>
      </c>
      <c r="W316" s="121">
        <f>COUNTIF($V$4:$V$286,V316)-1</f>
        <v>-1</v>
      </c>
      <c r="X316" s="121"/>
      <c r="Y316" s="121"/>
      <c r="Z316" s="121"/>
      <c r="AA316" s="24"/>
    </row>
    <row r="317" spans="1:27" ht="18.75">
      <c r="A317" s="117"/>
      <c r="B317" s="117">
        <v>7200</v>
      </c>
      <c r="C317" s="120"/>
      <c r="D317" s="120" t="str">
        <f>"พัสดุ"&amp; VLOOKUP(V317,'เลขSpec.2 ตัวแรก'!$A$2:$B$100,2,FALSE)&amp; " จำนวน "&amp;W317&amp;" รายการ"</f>
        <v>พัสดุหมวด 72 เครื่องใช้และเครื่องตบแต่งที่ใช้ในบ้านและร้านค้า จำนวน -1 รายการ</v>
      </c>
      <c r="E317" s="119"/>
      <c r="F317" s="117"/>
      <c r="G317" s="117"/>
      <c r="H317" s="117"/>
      <c r="I317" s="118"/>
      <c r="J317" s="117"/>
      <c r="K317" s="117"/>
      <c r="L317" s="117"/>
      <c r="M317" s="117"/>
      <c r="N317" s="117"/>
      <c r="O317" s="120"/>
      <c r="P317" s="119"/>
      <c r="Q317" s="119"/>
      <c r="R317" s="117"/>
      <c r="S317" s="117"/>
      <c r="T317" s="117"/>
      <c r="U317" s="118"/>
      <c r="V317" s="117" t="str">
        <f t="shared" si="46"/>
        <v>72</v>
      </c>
      <c r="W317" s="117">
        <f>COUNTIF($V$4:$V$286,V317)-1</f>
        <v>-1</v>
      </c>
      <c r="X317" s="117"/>
      <c r="Y317" s="24"/>
      <c r="Z317" s="24"/>
      <c r="AA317" s="24"/>
    </row>
    <row r="318" spans="1:27" ht="18.75">
      <c r="A318" s="117"/>
      <c r="B318" s="117">
        <v>8400</v>
      </c>
      <c r="C318" s="120"/>
      <c r="D318" s="120" t="str">
        <f>"พัสดุ"&amp; VLOOKUP(V318,'เลขSpec.2 ตัวแรก'!$A$2:$B$100,2,FALSE)&amp; " จำนวน "&amp;W318&amp;" รายการ"</f>
        <v>พัสดุหมวด 84 อาภรณ์ภัณฑ์ บริภัณฑ์ประจำกายและเครื่องหมาย จำนวน -1 รายการ</v>
      </c>
      <c r="E318" s="119"/>
      <c r="F318" s="117"/>
      <c r="G318" s="117"/>
      <c r="H318" s="117"/>
      <c r="I318" s="118"/>
      <c r="J318" s="117"/>
      <c r="K318" s="117"/>
      <c r="L318" s="117"/>
      <c r="M318" s="117"/>
      <c r="N318" s="117"/>
      <c r="O318" s="120"/>
      <c r="P318" s="119"/>
      <c r="Q318" s="119"/>
      <c r="R318" s="117"/>
      <c r="S318" s="117"/>
      <c r="T318" s="117"/>
      <c r="U318" s="118"/>
      <c r="V318" s="117" t="str">
        <f t="shared" si="46"/>
        <v>84</v>
      </c>
      <c r="W318" s="117">
        <f>COUNTIF($V$4:$V$286,V318)-1</f>
        <v>-1</v>
      </c>
      <c r="X318" s="117"/>
      <c r="Y318" s="24"/>
      <c r="Z318" s="24"/>
      <c r="AA318" s="24"/>
    </row>
    <row r="319" spans="1:27" ht="18.75">
      <c r="A319" s="88"/>
      <c r="B319" s="121">
        <v>8415</v>
      </c>
      <c r="C319" s="121" t="s">
        <v>683</v>
      </c>
      <c r="D319" s="88" t="s">
        <v>1267</v>
      </c>
      <c r="E319" s="121">
        <v>61</v>
      </c>
      <c r="F319" s="46" t="s">
        <v>741</v>
      </c>
      <c r="G319" s="26" t="s">
        <v>53</v>
      </c>
      <c r="H319" s="122">
        <v>140000</v>
      </c>
      <c r="I319" s="123"/>
      <c r="J319" s="130" t="str">
        <f>HYPERLINK("https://drive.google.com/open?id=1_OQhYdjTjEsn6yEd9nLL-ks_irf9DRZD","8415")</f>
        <v>8415</v>
      </c>
      <c r="K319" s="125"/>
      <c r="L319" s="125"/>
      <c r="M319" s="46"/>
      <c r="N319" s="126"/>
      <c r="O319" s="126"/>
      <c r="P319" s="126"/>
      <c r="Q319" s="126"/>
      <c r="R319" s="126"/>
      <c r="S319" s="126"/>
      <c r="T319" s="128"/>
      <c r="U319" s="128"/>
      <c r="V319" s="129" t="str">
        <f t="shared" si="46"/>
        <v>84</v>
      </c>
      <c r="W319" s="121">
        <f>COUNTIF($V$4:$V408,V319)-1</f>
        <v>3</v>
      </c>
      <c r="X319" s="121"/>
      <c r="Y319" s="121"/>
      <c r="Z319" s="121"/>
      <c r="AA319" s="121"/>
    </row>
    <row r="320" spans="1:27" ht="18.75">
      <c r="A320" s="88"/>
      <c r="B320" s="121">
        <v>8415</v>
      </c>
      <c r="C320" s="121" t="s">
        <v>683</v>
      </c>
      <c r="D320" s="88" t="s">
        <v>1268</v>
      </c>
      <c r="E320" s="121">
        <v>61</v>
      </c>
      <c r="F320" s="46" t="s">
        <v>745</v>
      </c>
      <c r="G320" s="26" t="s">
        <v>53</v>
      </c>
      <c r="H320" s="122">
        <v>120000</v>
      </c>
      <c r="I320" s="123"/>
      <c r="J320" s="130" t="str">
        <f>HYPERLINK("https://drive.google.com/open?id=1t1JMCluRh6FjFp5E5AHXuepo0w1yFv1i","8415")</f>
        <v>8415</v>
      </c>
      <c r="K320" s="125"/>
      <c r="L320" s="125"/>
      <c r="M320" s="46"/>
      <c r="N320" s="126"/>
      <c r="O320" s="126"/>
      <c r="P320" s="126"/>
      <c r="Q320" s="126"/>
      <c r="R320" s="126"/>
      <c r="S320" s="126"/>
      <c r="T320" s="128"/>
      <c r="U320" s="128"/>
      <c r="V320" s="129" t="str">
        <f t="shared" si="46"/>
        <v>84</v>
      </c>
      <c r="W320" s="121">
        <f>COUNTIF($V$4:$V$286,V320)-1</f>
        <v>-1</v>
      </c>
      <c r="X320" s="121"/>
      <c r="Y320" s="121"/>
      <c r="Z320" s="121"/>
      <c r="AA320" s="121"/>
    </row>
    <row r="321" spans="1:27" ht="18.75">
      <c r="A321" s="88"/>
      <c r="B321" s="121">
        <v>8415</v>
      </c>
      <c r="C321" s="121" t="s">
        <v>683</v>
      </c>
      <c r="D321" s="88" t="s">
        <v>1269</v>
      </c>
      <c r="E321" s="121">
        <v>52</v>
      </c>
      <c r="F321" s="46" t="s">
        <v>1270</v>
      </c>
      <c r="G321" s="26" t="s">
        <v>53</v>
      </c>
      <c r="H321" s="122">
        <v>33000</v>
      </c>
      <c r="I321" s="123"/>
      <c r="J321" s="130" t="str">
        <f>HYPERLINK("https://drive.google.com/open?id=0B2rLR4BADrBtU2ZtLVlCVkxYWDA","8415")</f>
        <v>8415</v>
      </c>
      <c r="K321" s="132" t="str">
        <f>HYPERLINK("https://drive.google.com/drive/folders/0BwQ57SNHxB3BQ0RQZ3ZSNnczWnM","8415")</f>
        <v>8415</v>
      </c>
      <c r="L321" s="125"/>
      <c r="M321" s="46"/>
      <c r="N321" s="126"/>
      <c r="O321" s="126"/>
      <c r="P321" s="126"/>
      <c r="Q321" s="126"/>
      <c r="R321" s="126"/>
      <c r="S321" s="126"/>
      <c r="T321" s="128">
        <v>15</v>
      </c>
      <c r="U321" s="128">
        <f>E321+T321-2+2500</f>
        <v>2565</v>
      </c>
      <c r="V321" s="129" t="str">
        <f t="shared" si="46"/>
        <v>84</v>
      </c>
      <c r="W321" s="121">
        <f>COUNTIF('52-62 (สำหรับ จก.ตรวจเยี่ยม)'!$V$4:$V$286,V321)-1</f>
        <v>-1</v>
      </c>
      <c r="X321" s="121"/>
      <c r="Y321" s="121"/>
      <c r="Z321" s="121"/>
      <c r="AA321" s="24"/>
    </row>
    <row r="322" spans="1:27" ht="18.75">
      <c r="A322" s="117"/>
      <c r="B322" s="117">
        <v>9900</v>
      </c>
      <c r="C322" s="120"/>
      <c r="D322" s="120" t="str">
        <f>"พัสดุ"&amp; VLOOKUP(V322,'เลขSpec.2 ตัวแรก'!$A$2:$B$100,2,FALSE)&amp; " จำนวน "&amp;W322&amp;" รายการ"</f>
        <v>พัสดุหมวด 99 เบ็ดเตล็ด จำนวน 2 รายการ</v>
      </c>
      <c r="E322" s="119"/>
      <c r="F322" s="117"/>
      <c r="G322" s="117"/>
      <c r="H322" s="117"/>
      <c r="I322" s="118"/>
      <c r="J322" s="117"/>
      <c r="K322" s="117"/>
      <c r="L322" s="117"/>
      <c r="M322" s="117"/>
      <c r="N322" s="117"/>
      <c r="O322" s="120"/>
      <c r="P322" s="119"/>
      <c r="Q322" s="119"/>
      <c r="R322" s="117"/>
      <c r="S322" s="117"/>
      <c r="T322" s="117"/>
      <c r="U322" s="118"/>
      <c r="V322" s="117" t="str">
        <f t="shared" si="46"/>
        <v>99</v>
      </c>
      <c r="W322" s="117">
        <f>COUNTIF($V$4:$V408,V322)-1</f>
        <v>2</v>
      </c>
      <c r="X322" s="117"/>
      <c r="Y322" s="24"/>
      <c r="Z322" s="24"/>
      <c r="AA322" s="24"/>
    </row>
    <row r="323" spans="1:27" ht="18.75">
      <c r="A323" s="88"/>
      <c r="B323" s="121">
        <v>9999</v>
      </c>
      <c r="C323" s="121" t="s">
        <v>191</v>
      </c>
      <c r="D323" s="88" t="s">
        <v>1274</v>
      </c>
      <c r="E323" s="121">
        <v>54</v>
      </c>
      <c r="F323" s="46" t="s">
        <v>1275</v>
      </c>
      <c r="G323" s="26" t="s">
        <v>358</v>
      </c>
      <c r="H323" s="122">
        <v>45000</v>
      </c>
      <c r="I323" s="123"/>
      <c r="J323" s="130" t="str">
        <f>HYPERLINK("https://drive.google.com/open?id=0B2rLR4BADrBtTHl3SUpERXFjMWM","9999")</f>
        <v>9999</v>
      </c>
      <c r="K323" s="132" t="str">
        <f>HYPERLINK("https://drive.google.com/drive/folders/0BwQ57SNHxB3BUnd5ZGZPV0NZU1k","9999")</f>
        <v>9999</v>
      </c>
      <c r="L323" s="125"/>
      <c r="M323" s="46"/>
      <c r="N323" s="126"/>
      <c r="O323" s="126"/>
      <c r="P323" s="126"/>
      <c r="Q323" s="126"/>
      <c r="R323" s="126"/>
      <c r="S323" s="126"/>
      <c r="T323" s="128">
        <v>30</v>
      </c>
      <c r="U323" s="128">
        <f>E323+T323-2+2500</f>
        <v>2582</v>
      </c>
      <c r="V323" s="129" t="str">
        <f t="shared" si="46"/>
        <v>99</v>
      </c>
      <c r="W323" s="121">
        <f>COUNTIF('52-62 (สำหรับ จก.ตรวจเยี่ยม)'!$V$4:$V408,V323)-1</f>
        <v>2</v>
      </c>
      <c r="X323" s="121"/>
      <c r="Y323" s="121"/>
      <c r="Z323" s="121"/>
      <c r="AA323" s="121"/>
    </row>
    <row r="324" spans="1:27" ht="18.75">
      <c r="A324" s="88"/>
      <c r="B324" s="121">
        <v>9999</v>
      </c>
      <c r="C324" s="121" t="s">
        <v>63</v>
      </c>
      <c r="D324" s="88" t="s">
        <v>1278</v>
      </c>
      <c r="E324" s="121">
        <v>58</v>
      </c>
      <c r="F324" s="46" t="s">
        <v>1279</v>
      </c>
      <c r="G324" s="26" t="s">
        <v>28</v>
      </c>
      <c r="H324" s="122">
        <v>9600000</v>
      </c>
      <c r="I324" s="123"/>
      <c r="J324" s="130" t="str">
        <f>HYPERLINK("https://drive.google.com/open?id=0B2vBTVEfSzItM2k1MVBkRnpsMmc","1-58")</f>
        <v>1-58</v>
      </c>
      <c r="K324" s="152"/>
      <c r="L324" s="152"/>
      <c r="M324" s="136"/>
      <c r="N324" s="126"/>
      <c r="O324" s="126"/>
      <c r="P324" s="126"/>
      <c r="Q324" s="126"/>
      <c r="R324" s="126"/>
      <c r="S324" s="126"/>
      <c r="T324" s="128">
        <v>20</v>
      </c>
      <c r="U324" s="128">
        <f>E324+T324-2+2500</f>
        <v>2576</v>
      </c>
      <c r="V324" s="129" t="str">
        <f t="shared" si="46"/>
        <v>99</v>
      </c>
      <c r="W324" s="121">
        <f t="shared" ref="W324:W406" si="47">COUNTIF($V$4:$V408,V324)-1</f>
        <v>2</v>
      </c>
      <c r="X324" s="121"/>
      <c r="Y324" s="121"/>
      <c r="Z324" s="121"/>
      <c r="AA324" s="24"/>
    </row>
    <row r="325" spans="1:27" ht="18.75">
      <c r="A325" s="117"/>
      <c r="B325" s="117">
        <v>10000</v>
      </c>
      <c r="C325" s="120"/>
      <c r="D325" s="120"/>
      <c r="E325" s="119"/>
      <c r="F325" s="117"/>
      <c r="G325" s="117"/>
      <c r="H325" s="117"/>
      <c r="I325" s="118"/>
      <c r="J325" s="117"/>
      <c r="K325" s="117"/>
      <c r="L325" s="117"/>
      <c r="M325" s="117"/>
      <c r="N325" s="117"/>
      <c r="O325" s="120"/>
      <c r="P325" s="119"/>
      <c r="Q325" s="119"/>
      <c r="R325" s="117"/>
      <c r="S325" s="117"/>
      <c r="T325" s="117"/>
      <c r="U325" s="118"/>
      <c r="V325" s="117" t="str">
        <f t="shared" ref="V325:V406" si="48">LEFT(B325, SEARCH("",B325,3))</f>
        <v>100</v>
      </c>
      <c r="W325" s="117">
        <f t="shared" si="47"/>
        <v>81</v>
      </c>
      <c r="X325" s="117"/>
      <c r="Y325" s="24"/>
      <c r="Z325" s="24"/>
      <c r="AA325" s="24"/>
    </row>
    <row r="326" spans="1:27" ht="37.5">
      <c r="A326" s="88"/>
      <c r="B326" s="121" t="s">
        <v>1282</v>
      </c>
      <c r="C326" s="121" t="s">
        <v>25</v>
      </c>
      <c r="D326" s="88" t="s">
        <v>26</v>
      </c>
      <c r="E326" s="24"/>
      <c r="F326" s="24" t="s">
        <v>1390</v>
      </c>
      <c r="G326" s="26" t="s">
        <v>53</v>
      </c>
      <c r="H326" s="122">
        <v>8500</v>
      </c>
      <c r="I326" s="123"/>
      <c r="J326" s="131" t="str">
        <f t="shared" ref="J326:J408" si="49">HYPERLINK("https://drive.google.com/open?id=1uRKauPNhvZ-Kx2o2zLSRMFbmPZrJaKkb","จากบัญชีของ สน.งปฯ ธ.ค.61")</f>
        <v>จากบัญชีของ สน.งปฯ ธ.ค.61</v>
      </c>
      <c r="K326" s="152"/>
      <c r="L326" s="152"/>
      <c r="M326" s="24"/>
      <c r="N326" s="126"/>
      <c r="O326" s="126"/>
      <c r="P326" s="126"/>
      <c r="Q326" s="126"/>
      <c r="R326" s="126"/>
      <c r="S326" s="126"/>
      <c r="T326" s="128"/>
      <c r="U326" s="128"/>
      <c r="V326" s="129" t="str">
        <f t="shared" si="48"/>
        <v>100</v>
      </c>
      <c r="W326" s="121">
        <f t="shared" si="47"/>
        <v>81</v>
      </c>
      <c r="X326" s="121"/>
      <c r="Y326" s="121"/>
      <c r="Z326" s="121"/>
      <c r="AA326" s="121"/>
    </row>
    <row r="327" spans="1:27" ht="37.5">
      <c r="A327" s="88"/>
      <c r="B327" s="121" t="s">
        <v>1283</v>
      </c>
      <c r="C327" s="121" t="s">
        <v>25</v>
      </c>
      <c r="D327" s="88" t="s">
        <v>26</v>
      </c>
      <c r="E327" s="24"/>
      <c r="F327" s="24" t="s">
        <v>1391</v>
      </c>
      <c r="G327" s="26" t="s">
        <v>53</v>
      </c>
      <c r="H327" s="122">
        <v>12000</v>
      </c>
      <c r="I327" s="123"/>
      <c r="J327" s="131" t="str">
        <f t="shared" si="49"/>
        <v>จากบัญชีของ สน.งปฯ ธ.ค.61</v>
      </c>
      <c r="K327" s="152"/>
      <c r="L327" s="152"/>
      <c r="M327" s="24"/>
      <c r="N327" s="126"/>
      <c r="O327" s="126"/>
      <c r="P327" s="126"/>
      <c r="Q327" s="126"/>
      <c r="R327" s="126"/>
      <c r="S327" s="126"/>
      <c r="T327" s="128"/>
      <c r="U327" s="128"/>
      <c r="V327" s="129" t="str">
        <f t="shared" si="48"/>
        <v>100</v>
      </c>
      <c r="W327" s="121">
        <f t="shared" si="47"/>
        <v>81</v>
      </c>
      <c r="X327" s="121"/>
      <c r="Y327" s="121"/>
      <c r="Z327" s="121"/>
      <c r="AA327" s="121"/>
    </row>
    <row r="328" spans="1:27" ht="37.5">
      <c r="A328" s="88"/>
      <c r="B328" s="121" t="s">
        <v>1284</v>
      </c>
      <c r="C328" s="121" t="s">
        <v>25</v>
      </c>
      <c r="D328" s="88" t="s">
        <v>26</v>
      </c>
      <c r="E328" s="24"/>
      <c r="F328" s="24" t="s">
        <v>1392</v>
      </c>
      <c r="G328" s="26" t="s">
        <v>53</v>
      </c>
      <c r="H328" s="122">
        <v>17000</v>
      </c>
      <c r="I328" s="123"/>
      <c r="J328" s="131" t="str">
        <f t="shared" si="49"/>
        <v>จากบัญชีของ สน.งปฯ ธ.ค.61</v>
      </c>
      <c r="K328" s="152"/>
      <c r="L328" s="152"/>
      <c r="M328" s="24"/>
      <c r="N328" s="126"/>
      <c r="O328" s="126"/>
      <c r="P328" s="126"/>
      <c r="Q328" s="126"/>
      <c r="R328" s="126"/>
      <c r="S328" s="126"/>
      <c r="T328" s="128"/>
      <c r="U328" s="128"/>
      <c r="V328" s="129" t="str">
        <f t="shared" si="48"/>
        <v>100</v>
      </c>
      <c r="W328" s="121">
        <f t="shared" si="47"/>
        <v>81</v>
      </c>
      <c r="X328" s="121"/>
      <c r="Y328" s="121"/>
      <c r="Z328" s="121"/>
      <c r="AA328" s="121"/>
    </row>
    <row r="329" spans="1:27" ht="37.5">
      <c r="A329" s="88"/>
      <c r="B329" s="121" t="s">
        <v>1287</v>
      </c>
      <c r="C329" s="121" t="s">
        <v>25</v>
      </c>
      <c r="D329" s="88" t="s">
        <v>26</v>
      </c>
      <c r="E329" s="24"/>
      <c r="F329" s="24" t="s">
        <v>1346</v>
      </c>
      <c r="G329" s="26" t="s">
        <v>78</v>
      </c>
      <c r="H329" s="122">
        <v>52000</v>
      </c>
      <c r="I329" s="123"/>
      <c r="J329" s="131" t="str">
        <f t="shared" si="49"/>
        <v>จากบัญชีของ สน.งปฯ ธ.ค.61</v>
      </c>
      <c r="K329" s="152"/>
      <c r="L329" s="152"/>
      <c r="M329" s="24"/>
      <c r="N329" s="126"/>
      <c r="O329" s="126"/>
      <c r="P329" s="126"/>
      <c r="Q329" s="126"/>
      <c r="R329" s="126"/>
      <c r="S329" s="126"/>
      <c r="T329" s="128"/>
      <c r="U329" s="128"/>
      <c r="V329" s="129" t="str">
        <f t="shared" si="48"/>
        <v>100</v>
      </c>
      <c r="W329" s="121">
        <f t="shared" si="47"/>
        <v>81</v>
      </c>
      <c r="X329" s="121"/>
      <c r="Y329" s="121"/>
      <c r="Z329" s="121"/>
      <c r="AA329" s="121"/>
    </row>
    <row r="330" spans="1:27" ht="37.5">
      <c r="A330" s="88"/>
      <c r="B330" s="121" t="s">
        <v>1289</v>
      </c>
      <c r="C330" s="121" t="s">
        <v>25</v>
      </c>
      <c r="D330" s="88" t="s">
        <v>26</v>
      </c>
      <c r="E330" s="24"/>
      <c r="F330" s="24" t="s">
        <v>1345</v>
      </c>
      <c r="G330" s="26" t="s">
        <v>78</v>
      </c>
      <c r="H330" s="122">
        <v>54300</v>
      </c>
      <c r="I330" s="123"/>
      <c r="J330" s="131" t="str">
        <f t="shared" si="49"/>
        <v>จากบัญชีของ สน.งปฯ ธ.ค.61</v>
      </c>
      <c r="K330" s="152"/>
      <c r="L330" s="152"/>
      <c r="M330" s="24"/>
      <c r="N330" s="126"/>
      <c r="O330" s="126"/>
      <c r="P330" s="126"/>
      <c r="Q330" s="126"/>
      <c r="R330" s="126"/>
      <c r="S330" s="126"/>
      <c r="T330" s="128"/>
      <c r="U330" s="128"/>
      <c r="V330" s="129" t="str">
        <f t="shared" si="48"/>
        <v>100</v>
      </c>
      <c r="W330" s="121">
        <f t="shared" si="47"/>
        <v>81</v>
      </c>
      <c r="X330" s="121"/>
      <c r="Y330" s="121"/>
      <c r="Z330" s="121"/>
      <c r="AA330" s="121"/>
    </row>
    <row r="331" spans="1:27" ht="37.5">
      <c r="A331" s="88"/>
      <c r="B331" s="121" t="s">
        <v>1293</v>
      </c>
      <c r="C331" s="121" t="s">
        <v>25</v>
      </c>
      <c r="D331" s="88" t="s">
        <v>26</v>
      </c>
      <c r="E331" s="24"/>
      <c r="F331" s="24" t="s">
        <v>1347</v>
      </c>
      <c r="G331" s="26" t="s">
        <v>78</v>
      </c>
      <c r="H331" s="122">
        <v>18000</v>
      </c>
      <c r="I331" s="123"/>
      <c r="J331" s="131" t="str">
        <f t="shared" si="49"/>
        <v>จากบัญชีของ สน.งปฯ ธ.ค.61</v>
      </c>
      <c r="K331" s="152"/>
      <c r="L331" s="152"/>
      <c r="M331" s="24"/>
      <c r="N331" s="126"/>
      <c r="O331" s="126"/>
      <c r="P331" s="126"/>
      <c r="Q331" s="126"/>
      <c r="R331" s="126"/>
      <c r="S331" s="126"/>
      <c r="T331" s="128"/>
      <c r="U331" s="128"/>
      <c r="V331" s="129" t="str">
        <f t="shared" si="48"/>
        <v>100</v>
      </c>
      <c r="W331" s="121">
        <f t="shared" si="47"/>
        <v>81</v>
      </c>
      <c r="X331" s="121"/>
      <c r="Y331" s="121"/>
      <c r="Z331" s="121"/>
      <c r="AA331" s="121"/>
    </row>
    <row r="332" spans="1:27" ht="37.5">
      <c r="A332" s="88"/>
      <c r="B332" s="121" t="s">
        <v>1294</v>
      </c>
      <c r="C332" s="121" t="s">
        <v>25</v>
      </c>
      <c r="D332" s="88" t="s">
        <v>26</v>
      </c>
      <c r="E332" s="24"/>
      <c r="F332" s="24" t="s">
        <v>1348</v>
      </c>
      <c r="G332" s="26" t="s">
        <v>78</v>
      </c>
      <c r="H332" s="122">
        <v>19000</v>
      </c>
      <c r="I332" s="123"/>
      <c r="J332" s="131" t="str">
        <f t="shared" si="49"/>
        <v>จากบัญชีของ สน.งปฯ ธ.ค.61</v>
      </c>
      <c r="K332" s="152"/>
      <c r="L332" s="152"/>
      <c r="M332" s="24"/>
      <c r="N332" s="126"/>
      <c r="O332" s="126"/>
      <c r="P332" s="126"/>
      <c r="Q332" s="126"/>
      <c r="R332" s="126"/>
      <c r="S332" s="126"/>
      <c r="T332" s="128"/>
      <c r="U332" s="128"/>
      <c r="V332" s="129" t="str">
        <f t="shared" si="48"/>
        <v>100</v>
      </c>
      <c r="W332" s="121">
        <f t="shared" si="47"/>
        <v>81</v>
      </c>
      <c r="X332" s="121"/>
      <c r="Y332" s="121"/>
      <c r="Z332" s="121"/>
      <c r="AA332" s="121"/>
    </row>
    <row r="333" spans="1:27" ht="37.5">
      <c r="A333" s="88"/>
      <c r="B333" s="121" t="s">
        <v>1296</v>
      </c>
      <c r="C333" s="121" t="s">
        <v>25</v>
      </c>
      <c r="D333" s="88" t="s">
        <v>26</v>
      </c>
      <c r="E333" s="24"/>
      <c r="F333" s="24" t="s">
        <v>1351</v>
      </c>
      <c r="G333" s="26" t="s">
        <v>78</v>
      </c>
      <c r="H333" s="122">
        <v>17800</v>
      </c>
      <c r="I333" s="123"/>
      <c r="J333" s="131" t="str">
        <f t="shared" si="49"/>
        <v>จากบัญชีของ สน.งปฯ ธ.ค.61</v>
      </c>
      <c r="K333" s="152"/>
      <c r="L333" s="152"/>
      <c r="M333" s="24"/>
      <c r="N333" s="126"/>
      <c r="O333" s="126"/>
      <c r="P333" s="126"/>
      <c r="Q333" s="126"/>
      <c r="R333" s="126"/>
      <c r="S333" s="126"/>
      <c r="T333" s="128"/>
      <c r="U333" s="128"/>
      <c r="V333" s="129" t="str">
        <f t="shared" si="48"/>
        <v>100</v>
      </c>
      <c r="W333" s="121">
        <f t="shared" si="47"/>
        <v>81</v>
      </c>
      <c r="X333" s="121"/>
      <c r="Y333" s="121"/>
      <c r="Z333" s="121"/>
      <c r="AA333" s="121"/>
    </row>
    <row r="334" spans="1:27" ht="37.5">
      <c r="A334" s="88"/>
      <c r="B334" s="121" t="s">
        <v>1297</v>
      </c>
      <c r="C334" s="121" t="s">
        <v>25</v>
      </c>
      <c r="D334" s="88" t="s">
        <v>26</v>
      </c>
      <c r="E334" s="24"/>
      <c r="F334" s="24" t="s">
        <v>1370</v>
      </c>
      <c r="G334" s="26" t="s">
        <v>28</v>
      </c>
      <c r="H334" s="122">
        <v>4000000</v>
      </c>
      <c r="I334" s="123"/>
      <c r="J334" s="131" t="str">
        <f t="shared" si="49"/>
        <v>จากบัญชีของ สน.งปฯ ธ.ค.61</v>
      </c>
      <c r="K334" s="152"/>
      <c r="L334" s="152"/>
      <c r="M334" s="24"/>
      <c r="N334" s="126"/>
      <c r="O334" s="126"/>
      <c r="P334" s="126"/>
      <c r="Q334" s="126"/>
      <c r="R334" s="126"/>
      <c r="S334" s="126"/>
      <c r="T334" s="128"/>
      <c r="U334" s="128"/>
      <c r="V334" s="129" t="str">
        <f t="shared" si="48"/>
        <v>100</v>
      </c>
      <c r="W334" s="121">
        <f t="shared" si="47"/>
        <v>81</v>
      </c>
      <c r="X334" s="121"/>
      <c r="Y334" s="121"/>
      <c r="Z334" s="121"/>
      <c r="AA334" s="121"/>
    </row>
    <row r="335" spans="1:27" ht="37.5">
      <c r="A335" s="88"/>
      <c r="B335" s="121" t="s">
        <v>1298</v>
      </c>
      <c r="C335" s="121" t="s">
        <v>25</v>
      </c>
      <c r="D335" s="88" t="s">
        <v>26</v>
      </c>
      <c r="E335" s="24"/>
      <c r="F335" s="24" t="s">
        <v>1373</v>
      </c>
      <c r="G335" s="26" t="s">
        <v>28</v>
      </c>
      <c r="H335" s="122">
        <v>4500000</v>
      </c>
      <c r="I335" s="123"/>
      <c r="J335" s="131" t="str">
        <f t="shared" si="49"/>
        <v>จากบัญชีของ สน.งปฯ ธ.ค.61</v>
      </c>
      <c r="K335" s="152"/>
      <c r="L335" s="152"/>
      <c r="M335" s="24"/>
      <c r="N335" s="126"/>
      <c r="O335" s="126"/>
      <c r="P335" s="126"/>
      <c r="Q335" s="126"/>
      <c r="R335" s="126"/>
      <c r="S335" s="126"/>
      <c r="T335" s="128"/>
      <c r="U335" s="128"/>
      <c r="V335" s="129" t="str">
        <f t="shared" si="48"/>
        <v>100</v>
      </c>
      <c r="W335" s="121">
        <f t="shared" si="47"/>
        <v>81</v>
      </c>
      <c r="X335" s="121"/>
      <c r="Y335" s="121"/>
      <c r="Z335" s="121"/>
      <c r="AA335" s="121"/>
    </row>
    <row r="336" spans="1:27" ht="37.5">
      <c r="A336" s="88"/>
      <c r="B336" s="121" t="s">
        <v>1300</v>
      </c>
      <c r="C336" s="121" t="s">
        <v>25</v>
      </c>
      <c r="D336" s="88" t="s">
        <v>26</v>
      </c>
      <c r="E336" s="24"/>
      <c r="F336" s="24" t="s">
        <v>1374</v>
      </c>
      <c r="G336" s="26" t="s">
        <v>28</v>
      </c>
      <c r="H336" s="122">
        <v>6800000</v>
      </c>
      <c r="I336" s="123"/>
      <c r="J336" s="131" t="str">
        <f t="shared" si="49"/>
        <v>จากบัญชีของ สน.งปฯ ธ.ค.61</v>
      </c>
      <c r="K336" s="152"/>
      <c r="L336" s="152"/>
      <c r="M336" s="24"/>
      <c r="N336" s="126"/>
      <c r="O336" s="126"/>
      <c r="P336" s="126"/>
      <c r="Q336" s="126"/>
      <c r="R336" s="126"/>
      <c r="S336" s="126"/>
      <c r="T336" s="128"/>
      <c r="U336" s="128"/>
      <c r="V336" s="129" t="str">
        <f t="shared" si="48"/>
        <v>100</v>
      </c>
      <c r="W336" s="121">
        <f t="shared" si="47"/>
        <v>81</v>
      </c>
      <c r="X336" s="121"/>
      <c r="Y336" s="121"/>
      <c r="Z336" s="121"/>
      <c r="AA336" s="121"/>
    </row>
    <row r="337" spans="1:27" ht="37.5">
      <c r="A337" s="88"/>
      <c r="B337" s="121" t="s">
        <v>1301</v>
      </c>
      <c r="C337" s="121" t="s">
        <v>25</v>
      </c>
      <c r="D337" s="88" t="s">
        <v>26</v>
      </c>
      <c r="E337" s="24"/>
      <c r="F337" s="24" t="s">
        <v>1379</v>
      </c>
      <c r="G337" s="26" t="s">
        <v>28</v>
      </c>
      <c r="H337" s="122">
        <v>2800000</v>
      </c>
      <c r="I337" s="123"/>
      <c r="J337" s="131" t="str">
        <f t="shared" si="49"/>
        <v>จากบัญชีของ สน.งปฯ ธ.ค.61</v>
      </c>
      <c r="K337" s="152"/>
      <c r="L337" s="152"/>
      <c r="M337" s="24"/>
      <c r="N337" s="126"/>
      <c r="O337" s="126"/>
      <c r="P337" s="126"/>
      <c r="Q337" s="126"/>
      <c r="R337" s="126"/>
      <c r="S337" s="126"/>
      <c r="T337" s="128"/>
      <c r="U337" s="128"/>
      <c r="V337" s="129" t="str">
        <f t="shared" si="48"/>
        <v>100</v>
      </c>
      <c r="W337" s="121">
        <f t="shared" si="47"/>
        <v>81</v>
      </c>
      <c r="X337" s="121"/>
      <c r="Y337" s="121"/>
      <c r="Z337" s="121"/>
      <c r="AA337" s="121"/>
    </row>
    <row r="338" spans="1:27" ht="37.5">
      <c r="A338" s="88"/>
      <c r="B338" s="121" t="s">
        <v>1303</v>
      </c>
      <c r="C338" s="121" t="s">
        <v>25</v>
      </c>
      <c r="D338" s="88" t="s">
        <v>26</v>
      </c>
      <c r="E338" s="24"/>
      <c r="F338" s="24" t="s">
        <v>1382</v>
      </c>
      <c r="G338" s="26" t="s">
        <v>28</v>
      </c>
      <c r="H338" s="122">
        <v>3300000</v>
      </c>
      <c r="I338" s="123"/>
      <c r="J338" s="131" t="str">
        <f t="shared" si="49"/>
        <v>จากบัญชีของ สน.งปฯ ธ.ค.61</v>
      </c>
      <c r="K338" s="152"/>
      <c r="L338" s="152"/>
      <c r="M338" s="24"/>
      <c r="N338" s="126"/>
      <c r="O338" s="126"/>
      <c r="P338" s="126"/>
      <c r="Q338" s="126"/>
      <c r="R338" s="126"/>
      <c r="S338" s="126"/>
      <c r="T338" s="128"/>
      <c r="U338" s="128"/>
      <c r="V338" s="129" t="str">
        <f t="shared" si="48"/>
        <v>100</v>
      </c>
      <c r="W338" s="121">
        <f t="shared" si="47"/>
        <v>81</v>
      </c>
      <c r="X338" s="121"/>
      <c r="Y338" s="121"/>
      <c r="Z338" s="121"/>
      <c r="AA338" s="121"/>
    </row>
    <row r="339" spans="1:27" ht="37.5">
      <c r="A339" s="88"/>
      <c r="B339" s="121" t="s">
        <v>1305</v>
      </c>
      <c r="C339" s="121" t="s">
        <v>25</v>
      </c>
      <c r="D339" s="88" t="s">
        <v>26</v>
      </c>
      <c r="E339" s="24"/>
      <c r="F339" s="24" t="s">
        <v>1375</v>
      </c>
      <c r="G339" s="26" t="s">
        <v>28</v>
      </c>
      <c r="H339" s="122">
        <v>4000000</v>
      </c>
      <c r="I339" s="123"/>
      <c r="J339" s="131" t="str">
        <f t="shared" si="49"/>
        <v>จากบัญชีของ สน.งปฯ ธ.ค.61</v>
      </c>
      <c r="K339" s="152"/>
      <c r="L339" s="152"/>
      <c r="M339" s="24"/>
      <c r="N339" s="126"/>
      <c r="O339" s="126"/>
      <c r="P339" s="126"/>
      <c r="Q339" s="126"/>
      <c r="R339" s="126"/>
      <c r="S339" s="126"/>
      <c r="T339" s="128"/>
      <c r="U339" s="128"/>
      <c r="V339" s="129" t="str">
        <f t="shared" si="48"/>
        <v>100</v>
      </c>
      <c r="W339" s="121">
        <f t="shared" si="47"/>
        <v>81</v>
      </c>
      <c r="X339" s="121"/>
      <c r="Y339" s="121"/>
      <c r="Z339" s="121"/>
      <c r="AA339" s="121"/>
    </row>
    <row r="340" spans="1:27" ht="37.5">
      <c r="A340" s="88"/>
      <c r="B340" s="121" t="s">
        <v>1307</v>
      </c>
      <c r="C340" s="121" t="s">
        <v>25</v>
      </c>
      <c r="D340" s="88" t="s">
        <v>26</v>
      </c>
      <c r="E340" s="24"/>
      <c r="F340" s="24" t="s">
        <v>1378</v>
      </c>
      <c r="G340" s="26" t="s">
        <v>28</v>
      </c>
      <c r="H340" s="122">
        <v>4500000</v>
      </c>
      <c r="I340" s="123"/>
      <c r="J340" s="131" t="str">
        <f t="shared" si="49"/>
        <v>จากบัญชีของ สน.งปฯ ธ.ค.61</v>
      </c>
      <c r="K340" s="152"/>
      <c r="L340" s="152"/>
      <c r="M340" s="24"/>
      <c r="N340" s="126"/>
      <c r="O340" s="126"/>
      <c r="P340" s="126"/>
      <c r="Q340" s="126"/>
      <c r="R340" s="126"/>
      <c r="S340" s="126"/>
      <c r="T340" s="128"/>
      <c r="U340" s="128"/>
      <c r="V340" s="129" t="str">
        <f t="shared" si="48"/>
        <v>100</v>
      </c>
      <c r="W340" s="121">
        <f t="shared" si="47"/>
        <v>81</v>
      </c>
      <c r="X340" s="121"/>
      <c r="Y340" s="121"/>
      <c r="Z340" s="121"/>
      <c r="AA340" s="121"/>
    </row>
    <row r="341" spans="1:27" ht="37.5">
      <c r="A341" s="88"/>
      <c r="B341" s="121" t="s">
        <v>1309</v>
      </c>
      <c r="C341" s="121" t="s">
        <v>25</v>
      </c>
      <c r="D341" s="88" t="s">
        <v>26</v>
      </c>
      <c r="E341" s="24"/>
      <c r="F341" s="24" t="s">
        <v>1369</v>
      </c>
      <c r="G341" s="26" t="s">
        <v>28</v>
      </c>
      <c r="H341" s="122">
        <v>7500000</v>
      </c>
      <c r="I341" s="123"/>
      <c r="J341" s="131" t="str">
        <f t="shared" si="49"/>
        <v>จากบัญชีของ สน.งปฯ ธ.ค.61</v>
      </c>
      <c r="K341" s="152"/>
      <c r="L341" s="152"/>
      <c r="M341" s="24"/>
      <c r="N341" s="126"/>
      <c r="O341" s="126"/>
      <c r="P341" s="126"/>
      <c r="Q341" s="126"/>
      <c r="R341" s="126"/>
      <c r="S341" s="126"/>
      <c r="T341" s="128"/>
      <c r="U341" s="128"/>
      <c r="V341" s="129" t="str">
        <f t="shared" si="48"/>
        <v>100</v>
      </c>
      <c r="W341" s="121">
        <f t="shared" si="47"/>
        <v>81</v>
      </c>
      <c r="X341" s="121"/>
      <c r="Y341" s="121"/>
      <c r="Z341" s="121"/>
      <c r="AA341" s="121"/>
    </row>
    <row r="342" spans="1:27" ht="37.5">
      <c r="A342" s="88"/>
      <c r="B342" s="121" t="s">
        <v>1311</v>
      </c>
      <c r="C342" s="121" t="s">
        <v>25</v>
      </c>
      <c r="D342" s="88" t="s">
        <v>26</v>
      </c>
      <c r="E342" s="24"/>
      <c r="F342" s="24" t="s">
        <v>1383</v>
      </c>
      <c r="G342" s="26" t="s">
        <v>28</v>
      </c>
      <c r="H342" s="122">
        <v>2900000</v>
      </c>
      <c r="I342" s="123"/>
      <c r="J342" s="131" t="str">
        <f t="shared" si="49"/>
        <v>จากบัญชีของ สน.งปฯ ธ.ค.61</v>
      </c>
      <c r="K342" s="152"/>
      <c r="L342" s="152"/>
      <c r="M342" s="24"/>
      <c r="N342" s="126"/>
      <c r="O342" s="126"/>
      <c r="P342" s="126"/>
      <c r="Q342" s="126"/>
      <c r="R342" s="126"/>
      <c r="S342" s="126"/>
      <c r="T342" s="128"/>
      <c r="U342" s="128"/>
      <c r="V342" s="129" t="str">
        <f t="shared" si="48"/>
        <v>100</v>
      </c>
      <c r="W342" s="121">
        <f t="shared" si="47"/>
        <v>81</v>
      </c>
      <c r="X342" s="121"/>
      <c r="Y342" s="121"/>
      <c r="Z342" s="121"/>
      <c r="AA342" s="121"/>
    </row>
    <row r="343" spans="1:27" ht="37.5">
      <c r="A343" s="88"/>
      <c r="B343" s="121" t="s">
        <v>1314</v>
      </c>
      <c r="C343" s="121" t="s">
        <v>25</v>
      </c>
      <c r="D343" s="88" t="s">
        <v>26</v>
      </c>
      <c r="E343" s="24"/>
      <c r="F343" s="24" t="s">
        <v>1387</v>
      </c>
      <c r="G343" s="26" t="s">
        <v>28</v>
      </c>
      <c r="H343" s="122">
        <v>398000</v>
      </c>
      <c r="I343" s="123"/>
      <c r="J343" s="131" t="str">
        <f t="shared" si="49"/>
        <v>จากบัญชีของ สน.งปฯ ธ.ค.61</v>
      </c>
      <c r="K343" s="152"/>
      <c r="L343" s="152"/>
      <c r="M343" s="24"/>
      <c r="N343" s="126"/>
      <c r="O343" s="126"/>
      <c r="P343" s="126"/>
      <c r="Q343" s="126"/>
      <c r="R343" s="126"/>
      <c r="S343" s="126"/>
      <c r="T343" s="128"/>
      <c r="U343" s="128"/>
      <c r="V343" s="129" t="str">
        <f t="shared" si="48"/>
        <v>100</v>
      </c>
      <c r="W343" s="121">
        <f t="shared" si="47"/>
        <v>81</v>
      </c>
      <c r="X343" s="121"/>
      <c r="Y343" s="121"/>
      <c r="Z343" s="121"/>
      <c r="AA343" s="121"/>
    </row>
    <row r="344" spans="1:27" ht="37.5">
      <c r="A344" s="88"/>
      <c r="B344" s="121" t="s">
        <v>1316</v>
      </c>
      <c r="C344" s="121" t="s">
        <v>25</v>
      </c>
      <c r="D344" s="88" t="s">
        <v>26</v>
      </c>
      <c r="E344" s="24"/>
      <c r="F344" s="24" t="s">
        <v>1388</v>
      </c>
      <c r="G344" s="26" t="s">
        <v>28</v>
      </c>
      <c r="H344" s="122">
        <v>590000</v>
      </c>
      <c r="I344" s="123"/>
      <c r="J344" s="131" t="str">
        <f t="shared" si="49"/>
        <v>จากบัญชีของ สน.งปฯ ธ.ค.61</v>
      </c>
      <c r="K344" s="152"/>
      <c r="L344" s="152"/>
      <c r="M344" s="46"/>
      <c r="N344" s="126"/>
      <c r="O344" s="126"/>
      <c r="P344" s="126"/>
      <c r="Q344" s="126"/>
      <c r="R344" s="126"/>
      <c r="S344" s="126"/>
      <c r="T344" s="128"/>
      <c r="U344" s="128"/>
      <c r="V344" s="129" t="str">
        <f t="shared" si="48"/>
        <v>100</v>
      </c>
      <c r="W344" s="121">
        <f t="shared" si="47"/>
        <v>81</v>
      </c>
      <c r="X344" s="121"/>
      <c r="Y344" s="121"/>
      <c r="Z344" s="121"/>
      <c r="AA344" s="121"/>
    </row>
    <row r="345" spans="1:27" ht="37.5">
      <c r="A345" s="88"/>
      <c r="B345" s="121" t="s">
        <v>1317</v>
      </c>
      <c r="C345" s="121" t="s">
        <v>25</v>
      </c>
      <c r="D345" s="88" t="s">
        <v>26</v>
      </c>
      <c r="E345" s="24"/>
      <c r="F345" s="24" t="s">
        <v>1389</v>
      </c>
      <c r="G345" s="26" t="s">
        <v>28</v>
      </c>
      <c r="H345" s="122">
        <v>1100000</v>
      </c>
      <c r="I345" s="123"/>
      <c r="J345" s="131" t="str">
        <f t="shared" si="49"/>
        <v>จากบัญชีของ สน.งปฯ ธ.ค.61</v>
      </c>
      <c r="K345" s="152"/>
      <c r="L345" s="152"/>
      <c r="M345" s="46"/>
      <c r="N345" s="126"/>
      <c r="O345" s="126"/>
      <c r="P345" s="126"/>
      <c r="Q345" s="126"/>
      <c r="R345" s="126"/>
      <c r="S345" s="126"/>
      <c r="T345" s="128"/>
      <c r="U345" s="128"/>
      <c r="V345" s="129" t="str">
        <f t="shared" si="48"/>
        <v>100</v>
      </c>
      <c r="W345" s="121">
        <f t="shared" si="47"/>
        <v>81</v>
      </c>
      <c r="X345" s="121"/>
      <c r="Y345" s="121"/>
      <c r="Z345" s="121"/>
      <c r="AA345" s="121"/>
    </row>
    <row r="346" spans="1:27" ht="37.5">
      <c r="A346" s="88"/>
      <c r="B346" s="121" t="s">
        <v>1323</v>
      </c>
      <c r="C346" s="121" t="s">
        <v>25</v>
      </c>
      <c r="D346" s="88" t="s">
        <v>26</v>
      </c>
      <c r="E346" s="24"/>
      <c r="F346" s="24" t="s">
        <v>1358</v>
      </c>
      <c r="G346" s="26" t="s">
        <v>78</v>
      </c>
      <c r="H346" s="122">
        <v>9500</v>
      </c>
      <c r="I346" s="123"/>
      <c r="J346" s="131" t="str">
        <f t="shared" si="49"/>
        <v>จากบัญชีของ สน.งปฯ ธ.ค.61</v>
      </c>
      <c r="K346" s="152"/>
      <c r="L346" s="152"/>
      <c r="M346" s="24"/>
      <c r="N346" s="126"/>
      <c r="O346" s="126"/>
      <c r="P346" s="126"/>
      <c r="Q346" s="126"/>
      <c r="R346" s="126"/>
      <c r="S346" s="126"/>
      <c r="T346" s="128"/>
      <c r="U346" s="128"/>
      <c r="V346" s="129" t="str">
        <f t="shared" si="48"/>
        <v>100</v>
      </c>
      <c r="W346" s="121">
        <f t="shared" si="47"/>
        <v>81</v>
      </c>
      <c r="X346" s="121"/>
      <c r="Y346" s="121"/>
      <c r="Z346" s="121"/>
      <c r="AA346" s="121"/>
    </row>
    <row r="347" spans="1:27" ht="37.5">
      <c r="A347" s="88"/>
      <c r="B347" s="121" t="s">
        <v>1325</v>
      </c>
      <c r="C347" s="121" t="s">
        <v>25</v>
      </c>
      <c r="D347" s="88" t="s">
        <v>26</v>
      </c>
      <c r="E347" s="24"/>
      <c r="F347" s="24" t="s">
        <v>1355</v>
      </c>
      <c r="G347" s="26" t="s">
        <v>78</v>
      </c>
      <c r="H347" s="122">
        <v>13400</v>
      </c>
      <c r="I347" s="123"/>
      <c r="J347" s="131" t="str">
        <f t="shared" si="49"/>
        <v>จากบัญชีของ สน.งปฯ ธ.ค.61</v>
      </c>
      <c r="K347" s="152"/>
      <c r="L347" s="152"/>
      <c r="M347" s="24"/>
      <c r="N347" s="126"/>
      <c r="O347" s="126"/>
      <c r="P347" s="126"/>
      <c r="Q347" s="126"/>
      <c r="R347" s="126"/>
      <c r="S347" s="126"/>
      <c r="T347" s="128"/>
      <c r="U347" s="128"/>
      <c r="V347" s="129" t="str">
        <f t="shared" si="48"/>
        <v>100</v>
      </c>
      <c r="W347" s="121">
        <f t="shared" si="47"/>
        <v>81</v>
      </c>
      <c r="X347" s="121"/>
      <c r="Y347" s="121"/>
      <c r="Z347" s="121"/>
      <c r="AA347" s="121"/>
    </row>
    <row r="348" spans="1:27" ht="37.5">
      <c r="A348" s="88"/>
      <c r="B348" s="121" t="s">
        <v>1327</v>
      </c>
      <c r="C348" s="121" t="s">
        <v>25</v>
      </c>
      <c r="D348" s="88" t="s">
        <v>26</v>
      </c>
      <c r="E348" s="24"/>
      <c r="F348" s="24" t="s">
        <v>1356</v>
      </c>
      <c r="G348" s="26" t="s">
        <v>78</v>
      </c>
      <c r="H348" s="122">
        <v>22500</v>
      </c>
      <c r="I348" s="123"/>
      <c r="J348" s="131" t="str">
        <f t="shared" si="49"/>
        <v>จากบัญชีของ สน.งปฯ ธ.ค.61</v>
      </c>
      <c r="K348" s="152"/>
      <c r="L348" s="152"/>
      <c r="M348" s="24"/>
      <c r="N348" s="126"/>
      <c r="O348" s="126"/>
      <c r="P348" s="126"/>
      <c r="Q348" s="126"/>
      <c r="R348" s="126"/>
      <c r="S348" s="126"/>
      <c r="T348" s="128"/>
      <c r="U348" s="128"/>
      <c r="V348" s="129" t="str">
        <f t="shared" si="48"/>
        <v>100</v>
      </c>
      <c r="W348" s="121">
        <f t="shared" si="47"/>
        <v>81</v>
      </c>
      <c r="X348" s="121"/>
      <c r="Y348" s="121"/>
      <c r="Z348" s="121"/>
      <c r="AA348" s="121"/>
    </row>
    <row r="349" spans="1:27" ht="37.5">
      <c r="A349" s="88"/>
      <c r="B349" s="121" t="s">
        <v>1329</v>
      </c>
      <c r="C349" s="121" t="s">
        <v>25</v>
      </c>
      <c r="D349" s="88" t="s">
        <v>26</v>
      </c>
      <c r="E349" s="24"/>
      <c r="F349" s="24" t="s">
        <v>1353</v>
      </c>
      <c r="G349" s="26" t="s">
        <v>78</v>
      </c>
      <c r="H349" s="122">
        <v>45000</v>
      </c>
      <c r="I349" s="123"/>
      <c r="J349" s="131" t="str">
        <f t="shared" si="49"/>
        <v>จากบัญชีของ สน.งปฯ ธ.ค.61</v>
      </c>
      <c r="K349" s="152"/>
      <c r="L349" s="152"/>
      <c r="M349" s="24"/>
      <c r="N349" s="126"/>
      <c r="O349" s="126"/>
      <c r="P349" s="126"/>
      <c r="Q349" s="126"/>
      <c r="R349" s="126"/>
      <c r="S349" s="126"/>
      <c r="T349" s="128"/>
      <c r="U349" s="128"/>
      <c r="V349" s="129" t="str">
        <f t="shared" si="48"/>
        <v>100</v>
      </c>
      <c r="W349" s="121">
        <f t="shared" si="47"/>
        <v>81</v>
      </c>
      <c r="X349" s="121"/>
      <c r="Y349" s="121"/>
      <c r="Z349" s="121"/>
      <c r="AA349" s="121"/>
    </row>
    <row r="350" spans="1:27" ht="37.5">
      <c r="A350" s="88"/>
      <c r="B350" s="121" t="s">
        <v>1331</v>
      </c>
      <c r="C350" s="121" t="s">
        <v>25</v>
      </c>
      <c r="D350" s="88" t="s">
        <v>26</v>
      </c>
      <c r="E350" s="24"/>
      <c r="F350" s="24" t="s">
        <v>1354</v>
      </c>
      <c r="G350" s="26" t="s">
        <v>78</v>
      </c>
      <c r="H350" s="122">
        <v>95000</v>
      </c>
      <c r="I350" s="123"/>
      <c r="J350" s="131" t="str">
        <f t="shared" si="49"/>
        <v>จากบัญชีของ สน.งปฯ ธ.ค.61</v>
      </c>
      <c r="K350" s="152"/>
      <c r="L350" s="152"/>
      <c r="M350" s="24"/>
      <c r="N350" s="126"/>
      <c r="O350" s="126"/>
      <c r="P350" s="126"/>
      <c r="Q350" s="126"/>
      <c r="R350" s="126"/>
      <c r="S350" s="126"/>
      <c r="T350" s="128"/>
      <c r="U350" s="128"/>
      <c r="V350" s="129" t="str">
        <f t="shared" si="48"/>
        <v>100</v>
      </c>
      <c r="W350" s="121">
        <f t="shared" si="47"/>
        <v>81</v>
      </c>
      <c r="X350" s="121"/>
      <c r="Y350" s="121"/>
      <c r="Z350" s="121"/>
      <c r="AA350" s="121"/>
    </row>
    <row r="351" spans="1:27" ht="37.5">
      <c r="A351" s="88"/>
      <c r="B351" s="121" t="s">
        <v>1333</v>
      </c>
      <c r="C351" s="121" t="s">
        <v>25</v>
      </c>
      <c r="D351" s="88" t="s">
        <v>26</v>
      </c>
      <c r="E351" s="24"/>
      <c r="F351" s="24" t="s">
        <v>1361</v>
      </c>
      <c r="G351" s="26" t="s">
        <v>78</v>
      </c>
      <c r="H351" s="122">
        <v>11000</v>
      </c>
      <c r="I351" s="123"/>
      <c r="J351" s="131" t="str">
        <f t="shared" si="49"/>
        <v>จากบัญชีของ สน.งปฯ ธ.ค.61</v>
      </c>
      <c r="K351" s="152"/>
      <c r="L351" s="152"/>
      <c r="M351" s="24"/>
      <c r="N351" s="126"/>
      <c r="O351" s="126"/>
      <c r="P351" s="126"/>
      <c r="Q351" s="126"/>
      <c r="R351" s="126"/>
      <c r="S351" s="126"/>
      <c r="T351" s="128"/>
      <c r="U351" s="128"/>
      <c r="V351" s="129" t="str">
        <f t="shared" si="48"/>
        <v>100</v>
      </c>
      <c r="W351" s="121">
        <f t="shared" si="47"/>
        <v>81</v>
      </c>
      <c r="X351" s="121"/>
      <c r="Y351" s="121"/>
      <c r="Z351" s="121"/>
      <c r="AA351" s="121"/>
    </row>
    <row r="352" spans="1:27" ht="37.5">
      <c r="A352" s="88"/>
      <c r="B352" s="121" t="s">
        <v>1335</v>
      </c>
      <c r="C352" s="121" t="s">
        <v>25</v>
      </c>
      <c r="D352" s="88" t="s">
        <v>26</v>
      </c>
      <c r="E352" s="24"/>
      <c r="F352" s="24" t="s">
        <v>1359</v>
      </c>
      <c r="G352" s="26" t="s">
        <v>78</v>
      </c>
      <c r="H352" s="122">
        <v>16000</v>
      </c>
      <c r="I352" s="123"/>
      <c r="J352" s="131" t="str">
        <f t="shared" si="49"/>
        <v>จากบัญชีของ สน.งปฯ ธ.ค.61</v>
      </c>
      <c r="K352" s="152"/>
      <c r="L352" s="152"/>
      <c r="M352" s="24"/>
      <c r="N352" s="126"/>
      <c r="O352" s="126"/>
      <c r="P352" s="126"/>
      <c r="Q352" s="126"/>
      <c r="R352" s="126"/>
      <c r="S352" s="126"/>
      <c r="T352" s="128"/>
      <c r="U352" s="128"/>
      <c r="V352" s="129" t="str">
        <f t="shared" si="48"/>
        <v>100</v>
      </c>
      <c r="W352" s="121">
        <f t="shared" si="47"/>
        <v>81</v>
      </c>
      <c r="X352" s="121"/>
      <c r="Y352" s="121"/>
      <c r="Z352" s="121"/>
      <c r="AA352" s="121"/>
    </row>
    <row r="353" spans="1:27" ht="37.5">
      <c r="A353" s="88"/>
      <c r="B353" s="121" t="s">
        <v>1336</v>
      </c>
      <c r="C353" s="121" t="s">
        <v>25</v>
      </c>
      <c r="D353" s="88" t="s">
        <v>26</v>
      </c>
      <c r="E353" s="24"/>
      <c r="F353" s="24" t="s">
        <v>1360</v>
      </c>
      <c r="G353" s="26" t="s">
        <v>78</v>
      </c>
      <c r="H353" s="122">
        <v>20000</v>
      </c>
      <c r="I353" s="123"/>
      <c r="J353" s="131" t="str">
        <f t="shared" si="49"/>
        <v>จากบัญชีของ สน.งปฯ ธ.ค.61</v>
      </c>
      <c r="K353" s="152"/>
      <c r="L353" s="152"/>
      <c r="M353" s="24"/>
      <c r="N353" s="126"/>
      <c r="O353" s="126"/>
      <c r="P353" s="126"/>
      <c r="Q353" s="126"/>
      <c r="R353" s="126"/>
      <c r="S353" s="126"/>
      <c r="T353" s="128"/>
      <c r="U353" s="128"/>
      <c r="V353" s="129" t="str">
        <f t="shared" si="48"/>
        <v>100</v>
      </c>
      <c r="W353" s="121">
        <f t="shared" si="47"/>
        <v>81</v>
      </c>
      <c r="X353" s="121"/>
      <c r="Y353" s="121"/>
      <c r="Z353" s="121"/>
      <c r="AA353" s="121"/>
    </row>
    <row r="354" spans="1:27" ht="37.5">
      <c r="A354" s="88"/>
      <c r="B354" s="121" t="s">
        <v>1337</v>
      </c>
      <c r="C354" s="121" t="s">
        <v>25</v>
      </c>
      <c r="D354" s="88" t="s">
        <v>26</v>
      </c>
      <c r="E354" s="24"/>
      <c r="F354" s="24" t="s">
        <v>1352</v>
      </c>
      <c r="G354" s="26" t="s">
        <v>78</v>
      </c>
      <c r="H354" s="122">
        <v>85000</v>
      </c>
      <c r="I354" s="123"/>
      <c r="J354" s="131" t="str">
        <f t="shared" si="49"/>
        <v>จากบัญชีของ สน.งปฯ ธ.ค.61</v>
      </c>
      <c r="K354" s="152"/>
      <c r="L354" s="152"/>
      <c r="M354" s="24"/>
      <c r="N354" s="126"/>
      <c r="O354" s="126"/>
      <c r="P354" s="126"/>
      <c r="Q354" s="126"/>
      <c r="R354" s="126"/>
      <c r="S354" s="126"/>
      <c r="T354" s="128"/>
      <c r="U354" s="128"/>
      <c r="V354" s="129" t="str">
        <f t="shared" si="48"/>
        <v>100</v>
      </c>
      <c r="W354" s="121">
        <f t="shared" si="47"/>
        <v>81</v>
      </c>
      <c r="X354" s="121"/>
      <c r="Y354" s="121"/>
      <c r="Z354" s="121"/>
      <c r="AA354" s="121"/>
    </row>
    <row r="355" spans="1:27" ht="37.5">
      <c r="A355" s="88"/>
      <c r="B355" s="121" t="s">
        <v>1357</v>
      </c>
      <c r="C355" s="121" t="s">
        <v>25</v>
      </c>
      <c r="D355" s="88" t="s">
        <v>26</v>
      </c>
      <c r="E355" s="24"/>
      <c r="F355" s="24" t="s">
        <v>1344</v>
      </c>
      <c r="G355" s="26" t="s">
        <v>78</v>
      </c>
      <c r="H355" s="122">
        <v>12000</v>
      </c>
      <c r="I355" s="123"/>
      <c r="J355" s="131" t="str">
        <f t="shared" si="49"/>
        <v>จากบัญชีของ สน.งปฯ ธ.ค.61</v>
      </c>
      <c r="K355" s="152"/>
      <c r="L355" s="152"/>
      <c r="M355" s="24"/>
      <c r="N355" s="126"/>
      <c r="O355" s="126"/>
      <c r="P355" s="126"/>
      <c r="Q355" s="126"/>
      <c r="R355" s="126"/>
      <c r="S355" s="126"/>
      <c r="T355" s="128"/>
      <c r="U355" s="128"/>
      <c r="V355" s="129" t="str">
        <f t="shared" si="48"/>
        <v>100</v>
      </c>
      <c r="W355" s="121">
        <f t="shared" si="47"/>
        <v>81</v>
      </c>
      <c r="X355" s="121"/>
      <c r="Y355" s="121"/>
      <c r="Z355" s="121"/>
      <c r="AA355" s="121"/>
    </row>
    <row r="356" spans="1:27" ht="37.5">
      <c r="A356" s="88"/>
      <c r="B356" s="121" t="s">
        <v>1413</v>
      </c>
      <c r="C356" s="121" t="s">
        <v>25</v>
      </c>
      <c r="D356" s="88" t="s">
        <v>26</v>
      </c>
      <c r="E356" s="24"/>
      <c r="F356" s="24" t="s">
        <v>1100</v>
      </c>
      <c r="G356" s="26" t="s">
        <v>78</v>
      </c>
      <c r="H356" s="122">
        <v>23300</v>
      </c>
      <c r="I356" s="123"/>
      <c r="J356" s="131" t="str">
        <f t="shared" si="49"/>
        <v>จากบัญชีของ สน.งปฯ ธ.ค.61</v>
      </c>
      <c r="K356" s="152"/>
      <c r="L356" s="152"/>
      <c r="M356" s="24"/>
      <c r="N356" s="126"/>
      <c r="O356" s="126"/>
      <c r="P356" s="126"/>
      <c r="Q356" s="126"/>
      <c r="R356" s="126"/>
      <c r="S356" s="126"/>
      <c r="T356" s="128"/>
      <c r="U356" s="128"/>
      <c r="V356" s="129" t="str">
        <f t="shared" si="48"/>
        <v>100</v>
      </c>
      <c r="W356" s="121">
        <f t="shared" si="47"/>
        <v>81</v>
      </c>
      <c r="X356" s="121"/>
      <c r="Y356" s="121"/>
      <c r="Z356" s="121"/>
      <c r="AA356" s="121"/>
    </row>
    <row r="357" spans="1:27" ht="37.5">
      <c r="A357" s="88"/>
      <c r="B357" s="121" t="s">
        <v>1414</v>
      </c>
      <c r="C357" s="121" t="s">
        <v>25</v>
      </c>
      <c r="D357" s="88" t="s">
        <v>26</v>
      </c>
      <c r="E357" s="24"/>
      <c r="F357" s="24" t="s">
        <v>787</v>
      </c>
      <c r="G357" s="26" t="s">
        <v>78</v>
      </c>
      <c r="H357" s="122">
        <v>52000</v>
      </c>
      <c r="I357" s="123"/>
      <c r="J357" s="131" t="str">
        <f t="shared" si="49"/>
        <v>จากบัญชีของ สน.งปฯ ธ.ค.61</v>
      </c>
      <c r="K357" s="152"/>
      <c r="L357" s="152"/>
      <c r="M357" s="24"/>
      <c r="N357" s="126"/>
      <c r="O357" s="126"/>
      <c r="P357" s="126"/>
      <c r="Q357" s="126"/>
      <c r="R357" s="126"/>
      <c r="S357" s="126"/>
      <c r="T357" s="128"/>
      <c r="U357" s="128"/>
      <c r="V357" s="129" t="str">
        <f t="shared" si="48"/>
        <v>100</v>
      </c>
      <c r="W357" s="121">
        <f t="shared" si="47"/>
        <v>81</v>
      </c>
      <c r="X357" s="121"/>
      <c r="Y357" s="121"/>
      <c r="Z357" s="121"/>
      <c r="AA357" s="121"/>
    </row>
    <row r="358" spans="1:27" ht="37.5">
      <c r="A358" s="88"/>
      <c r="B358" s="121" t="s">
        <v>1415</v>
      </c>
      <c r="C358" s="121" t="s">
        <v>25</v>
      </c>
      <c r="D358" s="88" t="s">
        <v>26</v>
      </c>
      <c r="E358" s="24"/>
      <c r="F358" s="24" t="s">
        <v>1086</v>
      </c>
      <c r="G358" s="26" t="s">
        <v>78</v>
      </c>
      <c r="H358" s="122">
        <v>150000</v>
      </c>
      <c r="I358" s="123"/>
      <c r="J358" s="131" t="str">
        <f t="shared" si="49"/>
        <v>จากบัญชีของ สน.งปฯ ธ.ค.61</v>
      </c>
      <c r="K358" s="152"/>
      <c r="L358" s="152"/>
      <c r="M358" s="24"/>
      <c r="N358" s="126"/>
      <c r="O358" s="126"/>
      <c r="P358" s="126"/>
      <c r="Q358" s="126"/>
      <c r="R358" s="126"/>
      <c r="S358" s="126"/>
      <c r="T358" s="128"/>
      <c r="U358" s="128"/>
      <c r="V358" s="129" t="str">
        <f t="shared" si="48"/>
        <v>100</v>
      </c>
      <c r="W358" s="121">
        <f t="shared" si="47"/>
        <v>81</v>
      </c>
      <c r="X358" s="121"/>
      <c r="Y358" s="121"/>
      <c r="Z358" s="121"/>
      <c r="AA358" s="121"/>
    </row>
    <row r="359" spans="1:27" ht="37.5">
      <c r="A359" s="88"/>
      <c r="B359" s="121" t="s">
        <v>1416</v>
      </c>
      <c r="C359" s="121" t="s">
        <v>25</v>
      </c>
      <c r="D359" s="88" t="s">
        <v>26</v>
      </c>
      <c r="E359" s="24"/>
      <c r="F359" s="24" t="s">
        <v>1288</v>
      </c>
      <c r="G359" s="26" t="s">
        <v>78</v>
      </c>
      <c r="H359" s="122">
        <v>246000</v>
      </c>
      <c r="I359" s="123"/>
      <c r="J359" s="131" t="str">
        <f t="shared" si="49"/>
        <v>จากบัญชีของ สน.งปฯ ธ.ค.61</v>
      </c>
      <c r="K359" s="152"/>
      <c r="L359" s="152"/>
      <c r="M359" s="24"/>
      <c r="N359" s="126"/>
      <c r="O359" s="126"/>
      <c r="P359" s="126"/>
      <c r="Q359" s="126"/>
      <c r="R359" s="126"/>
      <c r="S359" s="126"/>
      <c r="T359" s="128"/>
      <c r="U359" s="128"/>
      <c r="V359" s="129" t="str">
        <f t="shared" si="48"/>
        <v>100</v>
      </c>
      <c r="W359" s="121">
        <f t="shared" si="47"/>
        <v>81</v>
      </c>
      <c r="X359" s="121"/>
      <c r="Y359" s="121"/>
      <c r="Z359" s="121"/>
      <c r="AA359" s="121"/>
    </row>
    <row r="360" spans="1:27" ht="37.5">
      <c r="A360" s="88"/>
      <c r="B360" s="121" t="s">
        <v>1417</v>
      </c>
      <c r="C360" s="121" t="s">
        <v>25</v>
      </c>
      <c r="D360" s="88" t="s">
        <v>26</v>
      </c>
      <c r="E360" s="24"/>
      <c r="F360" s="24" t="s">
        <v>1098</v>
      </c>
      <c r="G360" s="26" t="s">
        <v>78</v>
      </c>
      <c r="H360" s="122">
        <v>408000</v>
      </c>
      <c r="I360" s="123"/>
      <c r="J360" s="131" t="str">
        <f t="shared" si="49"/>
        <v>จากบัญชีของ สน.งปฯ ธ.ค.61</v>
      </c>
      <c r="K360" s="152"/>
      <c r="L360" s="152"/>
      <c r="M360" s="24"/>
      <c r="N360" s="126"/>
      <c r="O360" s="126"/>
      <c r="P360" s="126"/>
      <c r="Q360" s="126"/>
      <c r="R360" s="126"/>
      <c r="S360" s="126"/>
      <c r="T360" s="128"/>
      <c r="U360" s="128"/>
      <c r="V360" s="129" t="str">
        <f t="shared" si="48"/>
        <v>100</v>
      </c>
      <c r="W360" s="121">
        <f t="shared" si="47"/>
        <v>81</v>
      </c>
      <c r="X360" s="121"/>
      <c r="Y360" s="121"/>
      <c r="Z360" s="121"/>
      <c r="AA360" s="121"/>
    </row>
    <row r="361" spans="1:27" ht="37.5">
      <c r="A361" s="88"/>
      <c r="B361" s="121" t="s">
        <v>1418</v>
      </c>
      <c r="C361" s="121" t="s">
        <v>25</v>
      </c>
      <c r="D361" s="88" t="s">
        <v>26</v>
      </c>
      <c r="E361" s="24"/>
      <c r="F361" s="24" t="s">
        <v>1299</v>
      </c>
      <c r="G361" s="26" t="s">
        <v>78</v>
      </c>
      <c r="H361" s="122">
        <v>500000</v>
      </c>
      <c r="I361" s="123"/>
      <c r="J361" s="131" t="str">
        <f t="shared" si="49"/>
        <v>จากบัญชีของ สน.งปฯ ธ.ค.61</v>
      </c>
      <c r="K361" s="152"/>
      <c r="L361" s="152"/>
      <c r="M361" s="24"/>
      <c r="N361" s="126"/>
      <c r="O361" s="126"/>
      <c r="P361" s="126"/>
      <c r="Q361" s="126"/>
      <c r="R361" s="126"/>
      <c r="S361" s="126"/>
      <c r="T361" s="128"/>
      <c r="U361" s="128"/>
      <c r="V361" s="129" t="str">
        <f t="shared" si="48"/>
        <v>100</v>
      </c>
      <c r="W361" s="121">
        <f t="shared" si="47"/>
        <v>81</v>
      </c>
      <c r="X361" s="121"/>
      <c r="Y361" s="121"/>
      <c r="Z361" s="121"/>
      <c r="AA361" s="121"/>
    </row>
    <row r="362" spans="1:27" ht="37.5">
      <c r="A362" s="88"/>
      <c r="B362" s="121" t="s">
        <v>1419</v>
      </c>
      <c r="C362" s="121" t="s">
        <v>25</v>
      </c>
      <c r="D362" s="88" t="s">
        <v>26</v>
      </c>
      <c r="E362" s="24"/>
      <c r="F362" s="24" t="s">
        <v>782</v>
      </c>
      <c r="G362" s="26" t="s">
        <v>78</v>
      </c>
      <c r="H362" s="122">
        <v>670000</v>
      </c>
      <c r="I362" s="123"/>
      <c r="J362" s="131" t="str">
        <f t="shared" si="49"/>
        <v>จากบัญชีของ สน.งปฯ ธ.ค.61</v>
      </c>
      <c r="K362" s="152"/>
      <c r="L362" s="152"/>
      <c r="M362" s="24"/>
      <c r="N362" s="126"/>
      <c r="O362" s="126"/>
      <c r="P362" s="126"/>
      <c r="Q362" s="126"/>
      <c r="R362" s="126"/>
      <c r="S362" s="126"/>
      <c r="T362" s="128"/>
      <c r="U362" s="128"/>
      <c r="V362" s="129" t="str">
        <f t="shared" si="48"/>
        <v>100</v>
      </c>
      <c r="W362" s="121">
        <f t="shared" si="47"/>
        <v>81</v>
      </c>
      <c r="X362" s="121"/>
      <c r="Y362" s="121"/>
      <c r="Z362" s="121"/>
      <c r="AA362" s="121"/>
    </row>
    <row r="363" spans="1:27" ht="37.5">
      <c r="A363" s="88"/>
      <c r="B363" s="121" t="s">
        <v>1420</v>
      </c>
      <c r="C363" s="121" t="s">
        <v>25</v>
      </c>
      <c r="D363" s="88" t="s">
        <v>26</v>
      </c>
      <c r="E363" s="24"/>
      <c r="F363" s="24" t="s">
        <v>1290</v>
      </c>
      <c r="G363" s="26" t="s">
        <v>78</v>
      </c>
      <c r="H363" s="122">
        <v>1247000</v>
      </c>
      <c r="I363" s="123"/>
      <c r="J363" s="131" t="str">
        <f t="shared" si="49"/>
        <v>จากบัญชีของ สน.งปฯ ธ.ค.61</v>
      </c>
      <c r="K363" s="152"/>
      <c r="L363" s="152"/>
      <c r="M363" s="24"/>
      <c r="N363" s="126"/>
      <c r="O363" s="126"/>
      <c r="P363" s="126"/>
      <c r="Q363" s="126"/>
      <c r="R363" s="126"/>
      <c r="S363" s="126"/>
      <c r="T363" s="128"/>
      <c r="U363" s="128"/>
      <c r="V363" s="129" t="str">
        <f t="shared" si="48"/>
        <v>100</v>
      </c>
      <c r="W363" s="121">
        <f t="shared" si="47"/>
        <v>81</v>
      </c>
      <c r="X363" s="121"/>
      <c r="Y363" s="121"/>
      <c r="Z363" s="121"/>
      <c r="AA363" s="121"/>
    </row>
    <row r="364" spans="1:27" ht="37.5">
      <c r="A364" s="88"/>
      <c r="B364" s="121" t="s">
        <v>1421</v>
      </c>
      <c r="C364" s="121" t="s">
        <v>25</v>
      </c>
      <c r="D364" s="88" t="s">
        <v>26</v>
      </c>
      <c r="E364" s="24"/>
      <c r="F364" s="24" t="s">
        <v>1295</v>
      </c>
      <c r="G364" s="26" t="s">
        <v>78</v>
      </c>
      <c r="H364" s="122">
        <v>1700000</v>
      </c>
      <c r="I364" s="123"/>
      <c r="J364" s="131" t="str">
        <f t="shared" si="49"/>
        <v>จากบัญชีของ สน.งปฯ ธ.ค.61</v>
      </c>
      <c r="K364" s="152"/>
      <c r="L364" s="152"/>
      <c r="M364" s="24"/>
      <c r="N364" s="126"/>
      <c r="O364" s="126"/>
      <c r="P364" s="126"/>
      <c r="Q364" s="126"/>
      <c r="R364" s="126"/>
      <c r="S364" s="126"/>
      <c r="T364" s="128"/>
      <c r="U364" s="128"/>
      <c r="V364" s="129" t="str">
        <f t="shared" si="48"/>
        <v>100</v>
      </c>
      <c r="W364" s="121">
        <f t="shared" si="47"/>
        <v>81</v>
      </c>
      <c r="X364" s="121"/>
      <c r="Y364" s="121"/>
      <c r="Z364" s="121"/>
      <c r="AA364" s="121"/>
    </row>
    <row r="365" spans="1:27" ht="37.5">
      <c r="A365" s="88"/>
      <c r="B365" s="121" t="s">
        <v>1422</v>
      </c>
      <c r="C365" s="121" t="s">
        <v>25</v>
      </c>
      <c r="D365" s="88" t="s">
        <v>26</v>
      </c>
      <c r="E365" s="24"/>
      <c r="F365" s="24" t="s">
        <v>1102</v>
      </c>
      <c r="G365" s="26" t="s">
        <v>78</v>
      </c>
      <c r="H365" s="122">
        <v>2364000</v>
      </c>
      <c r="I365" s="123"/>
      <c r="J365" s="131" t="str">
        <f t="shared" si="49"/>
        <v>จากบัญชีของ สน.งปฯ ธ.ค.61</v>
      </c>
      <c r="K365" s="152"/>
      <c r="L365" s="152"/>
      <c r="M365" s="24"/>
      <c r="N365" s="126"/>
      <c r="O365" s="126"/>
      <c r="P365" s="126"/>
      <c r="Q365" s="126"/>
      <c r="R365" s="126"/>
      <c r="S365" s="126"/>
      <c r="T365" s="128"/>
      <c r="U365" s="128"/>
      <c r="V365" s="129" t="str">
        <f t="shared" si="48"/>
        <v>100</v>
      </c>
      <c r="W365" s="121">
        <f t="shared" si="47"/>
        <v>81</v>
      </c>
      <c r="X365" s="121"/>
      <c r="Y365" s="121"/>
      <c r="Z365" s="121"/>
      <c r="AA365" s="121"/>
    </row>
    <row r="366" spans="1:27" ht="37.5">
      <c r="A366" s="88"/>
      <c r="B366" s="121" t="s">
        <v>1423</v>
      </c>
      <c r="C366" s="121" t="s">
        <v>25</v>
      </c>
      <c r="D366" s="88" t="s">
        <v>26</v>
      </c>
      <c r="E366" s="24"/>
      <c r="F366" s="24" t="s">
        <v>1104</v>
      </c>
      <c r="G366" s="26" t="s">
        <v>78</v>
      </c>
      <c r="H366" s="122">
        <v>3350000</v>
      </c>
      <c r="I366" s="123"/>
      <c r="J366" s="131" t="str">
        <f t="shared" si="49"/>
        <v>จากบัญชีของ สน.งปฯ ธ.ค.61</v>
      </c>
      <c r="K366" s="152"/>
      <c r="L366" s="152"/>
      <c r="M366" s="24"/>
      <c r="N366" s="126"/>
      <c r="O366" s="126"/>
      <c r="P366" s="126"/>
      <c r="Q366" s="126"/>
      <c r="R366" s="126"/>
      <c r="S366" s="126"/>
      <c r="T366" s="128"/>
      <c r="U366" s="128"/>
      <c r="V366" s="129" t="str">
        <f t="shared" si="48"/>
        <v>100</v>
      </c>
      <c r="W366" s="121">
        <f t="shared" si="47"/>
        <v>81</v>
      </c>
      <c r="X366" s="121"/>
      <c r="Y366" s="121"/>
      <c r="Z366" s="121"/>
      <c r="AA366" s="121"/>
    </row>
    <row r="367" spans="1:27" ht="56.25">
      <c r="A367" s="88"/>
      <c r="B367" s="121" t="s">
        <v>1424</v>
      </c>
      <c r="C367" s="121" t="s">
        <v>25</v>
      </c>
      <c r="D367" s="88" t="s">
        <v>26</v>
      </c>
      <c r="E367" s="24"/>
      <c r="F367" s="24" t="s">
        <v>1384</v>
      </c>
      <c r="G367" s="26" t="s">
        <v>28</v>
      </c>
      <c r="H367" s="122">
        <v>950000</v>
      </c>
      <c r="I367" s="123"/>
      <c r="J367" s="131" t="str">
        <f t="shared" si="49"/>
        <v>จากบัญชีของ สน.งปฯ ธ.ค.61</v>
      </c>
      <c r="K367" s="152"/>
      <c r="L367" s="152"/>
      <c r="M367" s="24"/>
      <c r="N367" s="126"/>
      <c r="O367" s="126"/>
      <c r="P367" s="126"/>
      <c r="Q367" s="126"/>
      <c r="R367" s="126"/>
      <c r="S367" s="126"/>
      <c r="T367" s="128"/>
      <c r="U367" s="128"/>
      <c r="V367" s="129" t="str">
        <f t="shared" si="48"/>
        <v>100</v>
      </c>
      <c r="W367" s="121">
        <f t="shared" si="47"/>
        <v>81</v>
      </c>
      <c r="X367" s="121"/>
      <c r="Y367" s="121"/>
      <c r="Z367" s="121"/>
      <c r="AA367" s="121"/>
    </row>
    <row r="368" spans="1:27" ht="37.5">
      <c r="A368" s="88"/>
      <c r="B368" s="121" t="s">
        <v>1425</v>
      </c>
      <c r="C368" s="121" t="s">
        <v>25</v>
      </c>
      <c r="D368" s="88" t="s">
        <v>26</v>
      </c>
      <c r="E368" s="24"/>
      <c r="F368" s="24" t="s">
        <v>1385</v>
      </c>
      <c r="G368" s="26" t="s">
        <v>28</v>
      </c>
      <c r="H368" s="122">
        <v>2119000</v>
      </c>
      <c r="I368" s="123"/>
      <c r="J368" s="131" t="str">
        <f t="shared" si="49"/>
        <v>จากบัญชีของ สน.งปฯ ธ.ค.61</v>
      </c>
      <c r="K368" s="152"/>
      <c r="L368" s="152"/>
      <c r="M368" s="24"/>
      <c r="N368" s="126"/>
      <c r="O368" s="126"/>
      <c r="P368" s="126"/>
      <c r="Q368" s="126"/>
      <c r="R368" s="126"/>
      <c r="S368" s="126"/>
      <c r="T368" s="128"/>
      <c r="U368" s="128"/>
      <c r="V368" s="129" t="str">
        <f t="shared" si="48"/>
        <v>100</v>
      </c>
      <c r="W368" s="121">
        <f t="shared" si="47"/>
        <v>81</v>
      </c>
      <c r="X368" s="121"/>
      <c r="Y368" s="121"/>
      <c r="Z368" s="121"/>
      <c r="AA368" s="121"/>
    </row>
    <row r="369" spans="1:27" ht="37.5">
      <c r="A369" s="88"/>
      <c r="B369" s="121" t="s">
        <v>1426</v>
      </c>
      <c r="C369" s="121" t="s">
        <v>25</v>
      </c>
      <c r="D369" s="88" t="s">
        <v>26</v>
      </c>
      <c r="E369" s="24"/>
      <c r="F369" s="24" t="s">
        <v>1386</v>
      </c>
      <c r="G369" s="26" t="s">
        <v>28</v>
      </c>
      <c r="H369" s="122">
        <v>2400000</v>
      </c>
      <c r="I369" s="123"/>
      <c r="J369" s="131" t="str">
        <f t="shared" si="49"/>
        <v>จากบัญชีของ สน.งปฯ ธ.ค.61</v>
      </c>
      <c r="K369" s="152"/>
      <c r="L369" s="152"/>
      <c r="M369" s="24"/>
      <c r="N369" s="126"/>
      <c r="O369" s="126"/>
      <c r="P369" s="126"/>
      <c r="Q369" s="126"/>
      <c r="R369" s="126"/>
      <c r="S369" s="126"/>
      <c r="T369" s="128"/>
      <c r="U369" s="128"/>
      <c r="V369" s="129" t="str">
        <f t="shared" si="48"/>
        <v>100</v>
      </c>
      <c r="W369" s="121">
        <f t="shared" si="47"/>
        <v>81</v>
      </c>
      <c r="X369" s="121"/>
      <c r="Y369" s="121"/>
      <c r="Z369" s="121"/>
      <c r="AA369" s="121"/>
    </row>
    <row r="370" spans="1:27" ht="37.5">
      <c r="A370" s="88"/>
      <c r="B370" s="121" t="s">
        <v>1427</v>
      </c>
      <c r="C370" s="121" t="s">
        <v>25</v>
      </c>
      <c r="D370" s="88" t="s">
        <v>26</v>
      </c>
      <c r="E370" s="24"/>
      <c r="F370" s="24" t="s">
        <v>993</v>
      </c>
      <c r="G370" s="26" t="s">
        <v>48</v>
      </c>
      <c r="H370" s="122">
        <v>14800</v>
      </c>
      <c r="I370" s="123"/>
      <c r="J370" s="131" t="str">
        <f t="shared" si="49"/>
        <v>จากบัญชีของ สน.งปฯ ธ.ค.61</v>
      </c>
      <c r="K370" s="152"/>
      <c r="L370" s="152"/>
      <c r="M370" s="24"/>
      <c r="N370" s="126"/>
      <c r="O370" s="126"/>
      <c r="P370" s="126"/>
      <c r="Q370" s="126"/>
      <c r="R370" s="126"/>
      <c r="S370" s="126"/>
      <c r="T370" s="128"/>
      <c r="U370" s="128"/>
      <c r="V370" s="129" t="str">
        <f t="shared" si="48"/>
        <v>100</v>
      </c>
      <c r="W370" s="121">
        <f t="shared" si="47"/>
        <v>81</v>
      </c>
      <c r="X370" s="121"/>
      <c r="Y370" s="121"/>
      <c r="Z370" s="121"/>
      <c r="AA370" s="121"/>
    </row>
    <row r="371" spans="1:27" ht="37.5">
      <c r="A371" s="88"/>
      <c r="B371" s="121" t="s">
        <v>1428</v>
      </c>
      <c r="C371" s="121" t="s">
        <v>25</v>
      </c>
      <c r="D371" s="88" t="s">
        <v>26</v>
      </c>
      <c r="E371" s="24"/>
      <c r="F371" s="24" t="s">
        <v>1310</v>
      </c>
      <c r="G371" s="26" t="s">
        <v>48</v>
      </c>
      <c r="H371" s="122">
        <v>5500</v>
      </c>
      <c r="I371" s="123"/>
      <c r="J371" s="131" t="str">
        <f t="shared" si="49"/>
        <v>จากบัญชีของ สน.งปฯ ธ.ค.61</v>
      </c>
      <c r="K371" s="152"/>
      <c r="L371" s="152"/>
      <c r="M371" s="24"/>
      <c r="N371" s="126"/>
      <c r="O371" s="126"/>
      <c r="P371" s="126"/>
      <c r="Q371" s="126"/>
      <c r="R371" s="126"/>
      <c r="S371" s="126"/>
      <c r="T371" s="128"/>
      <c r="U371" s="128"/>
      <c r="V371" s="129" t="str">
        <f t="shared" si="48"/>
        <v>100</v>
      </c>
      <c r="W371" s="121">
        <f t="shared" si="47"/>
        <v>81</v>
      </c>
      <c r="X371" s="121"/>
      <c r="Y371" s="121"/>
      <c r="Z371" s="121"/>
      <c r="AA371" s="121"/>
    </row>
    <row r="372" spans="1:27" ht="37.5">
      <c r="A372" s="88"/>
      <c r="B372" s="121" t="s">
        <v>1429</v>
      </c>
      <c r="C372" s="121" t="s">
        <v>25</v>
      </c>
      <c r="D372" s="88" t="s">
        <v>26</v>
      </c>
      <c r="E372" s="24"/>
      <c r="F372" s="24" t="s">
        <v>1312</v>
      </c>
      <c r="G372" s="26" t="s">
        <v>48</v>
      </c>
      <c r="H372" s="122">
        <v>5800</v>
      </c>
      <c r="I372" s="123"/>
      <c r="J372" s="131" t="str">
        <f t="shared" si="49"/>
        <v>จากบัญชีของ สน.งปฯ ธ.ค.61</v>
      </c>
      <c r="K372" s="152"/>
      <c r="L372" s="152"/>
      <c r="M372" s="24"/>
      <c r="N372" s="126"/>
      <c r="O372" s="126"/>
      <c r="P372" s="126"/>
      <c r="Q372" s="126"/>
      <c r="R372" s="126"/>
      <c r="S372" s="126"/>
      <c r="T372" s="128"/>
      <c r="U372" s="128"/>
      <c r="V372" s="129" t="str">
        <f t="shared" si="48"/>
        <v>100</v>
      </c>
      <c r="W372" s="121">
        <f t="shared" si="47"/>
        <v>81</v>
      </c>
      <c r="X372" s="121"/>
      <c r="Y372" s="121"/>
      <c r="Z372" s="121"/>
      <c r="AA372" s="121"/>
    </row>
    <row r="373" spans="1:27" ht="37.5">
      <c r="A373" s="88"/>
      <c r="B373" s="121" t="s">
        <v>1430</v>
      </c>
      <c r="C373" s="121" t="s">
        <v>25</v>
      </c>
      <c r="D373" s="88" t="s">
        <v>26</v>
      </c>
      <c r="E373" s="24"/>
      <c r="F373" s="24" t="s">
        <v>1313</v>
      </c>
      <c r="G373" s="26" t="s">
        <v>48</v>
      </c>
      <c r="H373" s="122">
        <v>6300</v>
      </c>
      <c r="I373" s="123"/>
      <c r="J373" s="131" t="str">
        <f t="shared" si="49"/>
        <v>จากบัญชีของ สน.งปฯ ธ.ค.61</v>
      </c>
      <c r="K373" s="152"/>
      <c r="L373" s="152"/>
      <c r="M373" s="24"/>
      <c r="N373" s="126"/>
      <c r="O373" s="126"/>
      <c r="P373" s="126"/>
      <c r="Q373" s="126"/>
      <c r="R373" s="126"/>
      <c r="S373" s="126"/>
      <c r="T373" s="128"/>
      <c r="U373" s="128"/>
      <c r="V373" s="129" t="str">
        <f t="shared" si="48"/>
        <v>100</v>
      </c>
      <c r="W373" s="121">
        <f t="shared" si="47"/>
        <v>81</v>
      </c>
      <c r="X373" s="121"/>
      <c r="Y373" s="121"/>
      <c r="Z373" s="121"/>
      <c r="AA373" s="121"/>
    </row>
    <row r="374" spans="1:27" ht="37.5">
      <c r="A374" s="88"/>
      <c r="B374" s="121" t="s">
        <v>1431</v>
      </c>
      <c r="C374" s="121" t="s">
        <v>25</v>
      </c>
      <c r="D374" s="88" t="s">
        <v>26</v>
      </c>
      <c r="E374" s="24"/>
      <c r="F374" s="24" t="s">
        <v>1315</v>
      </c>
      <c r="G374" s="26" t="s">
        <v>48</v>
      </c>
      <c r="H374" s="122">
        <v>6500</v>
      </c>
      <c r="I374" s="123"/>
      <c r="J374" s="131" t="str">
        <f t="shared" si="49"/>
        <v>จากบัญชีของ สน.งปฯ ธ.ค.61</v>
      </c>
      <c r="K374" s="152"/>
      <c r="L374" s="152"/>
      <c r="M374" s="24"/>
      <c r="N374" s="126"/>
      <c r="O374" s="126"/>
      <c r="P374" s="126"/>
      <c r="Q374" s="126"/>
      <c r="R374" s="126"/>
      <c r="S374" s="126"/>
      <c r="T374" s="128"/>
      <c r="U374" s="128"/>
      <c r="V374" s="129" t="str">
        <f t="shared" si="48"/>
        <v>100</v>
      </c>
      <c r="W374" s="121">
        <f t="shared" si="47"/>
        <v>81</v>
      </c>
      <c r="X374" s="121"/>
      <c r="Y374" s="121"/>
      <c r="Z374" s="121"/>
      <c r="AA374" s="121"/>
    </row>
    <row r="375" spans="1:27" ht="37.5">
      <c r="A375" s="88"/>
      <c r="B375" s="121" t="s">
        <v>1432</v>
      </c>
      <c r="C375" s="121" t="s">
        <v>25</v>
      </c>
      <c r="D375" s="88" t="s">
        <v>26</v>
      </c>
      <c r="E375" s="24"/>
      <c r="F375" s="24" t="s">
        <v>1302</v>
      </c>
      <c r="G375" s="26" t="s">
        <v>78</v>
      </c>
      <c r="H375" s="122">
        <v>8300</v>
      </c>
      <c r="I375" s="123"/>
      <c r="J375" s="131" t="str">
        <f t="shared" si="49"/>
        <v>จากบัญชีของ สน.งปฯ ธ.ค.61</v>
      </c>
      <c r="K375" s="152"/>
      <c r="L375" s="152"/>
      <c r="M375" s="24"/>
      <c r="N375" s="126"/>
      <c r="O375" s="126"/>
      <c r="P375" s="126"/>
      <c r="Q375" s="126"/>
      <c r="R375" s="126"/>
      <c r="S375" s="126"/>
      <c r="T375" s="128"/>
      <c r="U375" s="128"/>
      <c r="V375" s="129" t="str">
        <f t="shared" si="48"/>
        <v>100</v>
      </c>
      <c r="W375" s="121">
        <f t="shared" si="47"/>
        <v>81</v>
      </c>
      <c r="X375" s="121"/>
      <c r="Y375" s="121"/>
      <c r="Z375" s="121"/>
      <c r="AA375" s="121"/>
    </row>
    <row r="376" spans="1:27" ht="37.5">
      <c r="A376" s="88"/>
      <c r="B376" s="121" t="s">
        <v>1433</v>
      </c>
      <c r="C376" s="121" t="s">
        <v>25</v>
      </c>
      <c r="D376" s="88" t="s">
        <v>26</v>
      </c>
      <c r="E376" s="24"/>
      <c r="F376" s="24" t="s">
        <v>1306</v>
      </c>
      <c r="G376" s="26" t="s">
        <v>78</v>
      </c>
      <c r="H376" s="122">
        <v>7600</v>
      </c>
      <c r="I376" s="123"/>
      <c r="J376" s="131" t="str">
        <f t="shared" si="49"/>
        <v>จากบัญชีของ สน.งปฯ ธ.ค.61</v>
      </c>
      <c r="K376" s="152"/>
      <c r="L376" s="152"/>
      <c r="M376" s="24"/>
      <c r="N376" s="126"/>
      <c r="O376" s="126"/>
      <c r="P376" s="126"/>
      <c r="Q376" s="126"/>
      <c r="R376" s="126"/>
      <c r="S376" s="126"/>
      <c r="T376" s="128"/>
      <c r="U376" s="128"/>
      <c r="V376" s="129" t="str">
        <f t="shared" si="48"/>
        <v>100</v>
      </c>
      <c r="W376" s="121">
        <f t="shared" si="47"/>
        <v>81</v>
      </c>
      <c r="X376" s="121"/>
      <c r="Y376" s="121"/>
      <c r="Z376" s="121"/>
      <c r="AA376" s="121"/>
    </row>
    <row r="377" spans="1:27" ht="37.5">
      <c r="A377" s="88"/>
      <c r="B377" s="121" t="s">
        <v>1434</v>
      </c>
      <c r="C377" s="121" t="s">
        <v>25</v>
      </c>
      <c r="D377" s="88" t="s">
        <v>26</v>
      </c>
      <c r="E377" s="24"/>
      <c r="F377" s="24" t="s">
        <v>1304</v>
      </c>
      <c r="G377" s="26" t="s">
        <v>78</v>
      </c>
      <c r="H377" s="122">
        <v>9300</v>
      </c>
      <c r="I377" s="123"/>
      <c r="J377" s="131" t="str">
        <f t="shared" si="49"/>
        <v>จากบัญชีของ สน.งปฯ ธ.ค.61</v>
      </c>
      <c r="K377" s="152"/>
      <c r="L377" s="152"/>
      <c r="M377" s="24"/>
      <c r="N377" s="126"/>
      <c r="O377" s="126"/>
      <c r="P377" s="126"/>
      <c r="Q377" s="126"/>
      <c r="R377" s="126"/>
      <c r="S377" s="126"/>
      <c r="T377" s="128"/>
      <c r="U377" s="128"/>
      <c r="V377" s="129" t="str">
        <f t="shared" si="48"/>
        <v>100</v>
      </c>
      <c r="W377" s="121">
        <f t="shared" si="47"/>
        <v>81</v>
      </c>
      <c r="X377" s="121"/>
      <c r="Y377" s="121"/>
      <c r="Z377" s="121"/>
      <c r="AA377" s="121"/>
    </row>
    <row r="378" spans="1:27" ht="37.5">
      <c r="A378" s="88"/>
      <c r="B378" s="121" t="s">
        <v>1435</v>
      </c>
      <c r="C378" s="121" t="s">
        <v>25</v>
      </c>
      <c r="D378" s="88" t="s">
        <v>26</v>
      </c>
      <c r="E378" s="24"/>
      <c r="F378" s="24" t="s">
        <v>1393</v>
      </c>
      <c r="G378" s="26" t="s">
        <v>78</v>
      </c>
      <c r="H378" s="122">
        <v>5600</v>
      </c>
      <c r="I378" s="123"/>
      <c r="J378" s="131" t="str">
        <f t="shared" si="49"/>
        <v>จากบัญชีของ สน.งปฯ ธ.ค.61</v>
      </c>
      <c r="K378" s="152"/>
      <c r="L378" s="152"/>
      <c r="M378" s="24"/>
      <c r="N378" s="126"/>
      <c r="O378" s="126"/>
      <c r="P378" s="126"/>
      <c r="Q378" s="126"/>
      <c r="R378" s="126"/>
      <c r="S378" s="126"/>
      <c r="T378" s="128"/>
      <c r="U378" s="128"/>
      <c r="V378" s="129" t="str">
        <f t="shared" si="48"/>
        <v>100</v>
      </c>
      <c r="W378" s="121">
        <f t="shared" si="47"/>
        <v>81</v>
      </c>
      <c r="X378" s="121"/>
      <c r="Y378" s="121"/>
      <c r="Z378" s="121"/>
      <c r="AA378" s="121"/>
    </row>
    <row r="379" spans="1:27" ht="37.5">
      <c r="A379" s="88"/>
      <c r="B379" s="121" t="s">
        <v>1436</v>
      </c>
      <c r="C379" s="121" t="s">
        <v>25</v>
      </c>
      <c r="D379" s="88" t="s">
        <v>26</v>
      </c>
      <c r="E379" s="24"/>
      <c r="F379" s="24" t="s">
        <v>1394</v>
      </c>
      <c r="G379" s="26" t="s">
        <v>78</v>
      </c>
      <c r="H379" s="122">
        <v>6900</v>
      </c>
      <c r="I379" s="123"/>
      <c r="J379" s="131" t="str">
        <f t="shared" si="49"/>
        <v>จากบัญชีของ สน.งปฯ ธ.ค.61</v>
      </c>
      <c r="K379" s="152"/>
      <c r="L379" s="152"/>
      <c r="M379" s="24"/>
      <c r="N379" s="126"/>
      <c r="O379" s="126"/>
      <c r="P379" s="126"/>
      <c r="Q379" s="126"/>
      <c r="R379" s="126"/>
      <c r="S379" s="126"/>
      <c r="T379" s="128"/>
      <c r="U379" s="128"/>
      <c r="V379" s="129" t="str">
        <f t="shared" si="48"/>
        <v>100</v>
      </c>
      <c r="W379" s="121">
        <f t="shared" si="47"/>
        <v>81</v>
      </c>
      <c r="X379" s="121"/>
      <c r="Y379" s="121"/>
      <c r="Z379" s="121"/>
      <c r="AA379" s="121"/>
    </row>
    <row r="380" spans="1:27" ht="37.5">
      <c r="A380" s="88"/>
      <c r="B380" s="121" t="s">
        <v>1437</v>
      </c>
      <c r="C380" s="121" t="s">
        <v>25</v>
      </c>
      <c r="D380" s="88" t="s">
        <v>26</v>
      </c>
      <c r="E380" s="24"/>
      <c r="F380" s="24" t="s">
        <v>1362</v>
      </c>
      <c r="G380" s="26" t="s">
        <v>78</v>
      </c>
      <c r="H380" s="122">
        <v>11000</v>
      </c>
      <c r="I380" s="123"/>
      <c r="J380" s="131" t="str">
        <f t="shared" si="49"/>
        <v>จากบัญชีของ สน.งปฯ ธ.ค.61</v>
      </c>
      <c r="K380" s="152"/>
      <c r="L380" s="158"/>
      <c r="M380" s="24"/>
      <c r="N380" s="126"/>
      <c r="O380" s="126"/>
      <c r="P380" s="126"/>
      <c r="Q380" s="126"/>
      <c r="R380" s="126"/>
      <c r="S380" s="126"/>
      <c r="T380" s="128"/>
      <c r="U380" s="128"/>
      <c r="V380" s="129" t="str">
        <f t="shared" si="48"/>
        <v>100</v>
      </c>
      <c r="W380" s="121">
        <f t="shared" si="47"/>
        <v>81</v>
      </c>
      <c r="X380" s="121"/>
      <c r="Y380" s="121"/>
      <c r="Z380" s="121"/>
      <c r="AA380" s="121"/>
    </row>
    <row r="381" spans="1:27" ht="37.5">
      <c r="A381" s="88"/>
      <c r="B381" s="121" t="s">
        <v>1438</v>
      </c>
      <c r="C381" s="121" t="s">
        <v>25</v>
      </c>
      <c r="D381" s="88" t="s">
        <v>26</v>
      </c>
      <c r="E381" s="24"/>
      <c r="F381" s="24" t="s">
        <v>1363</v>
      </c>
      <c r="G381" s="26" t="s">
        <v>78</v>
      </c>
      <c r="H381" s="122">
        <v>15000</v>
      </c>
      <c r="I381" s="123"/>
      <c r="J381" s="131" t="str">
        <f t="shared" si="49"/>
        <v>จากบัญชีของ สน.งปฯ ธ.ค.61</v>
      </c>
      <c r="K381" s="152"/>
      <c r="L381" s="152"/>
      <c r="M381" s="24"/>
      <c r="N381" s="126"/>
      <c r="O381" s="126"/>
      <c r="P381" s="126"/>
      <c r="Q381" s="126"/>
      <c r="R381" s="126"/>
      <c r="S381" s="126"/>
      <c r="T381" s="128"/>
      <c r="U381" s="128"/>
      <c r="V381" s="129" t="str">
        <f t="shared" si="48"/>
        <v>100</v>
      </c>
      <c r="W381" s="121">
        <f t="shared" si="47"/>
        <v>81</v>
      </c>
      <c r="X381" s="121"/>
      <c r="Y381" s="121"/>
      <c r="Z381" s="121"/>
      <c r="AA381" s="121"/>
    </row>
    <row r="382" spans="1:27" ht="37.5">
      <c r="A382" s="88"/>
      <c r="B382" s="121" t="s">
        <v>1439</v>
      </c>
      <c r="C382" s="121" t="s">
        <v>25</v>
      </c>
      <c r="D382" s="88" t="s">
        <v>26</v>
      </c>
      <c r="E382" s="24"/>
      <c r="F382" s="24" t="s">
        <v>1364</v>
      </c>
      <c r="G382" s="26" t="s">
        <v>78</v>
      </c>
      <c r="H382" s="122">
        <v>27700</v>
      </c>
      <c r="I382" s="123"/>
      <c r="J382" s="131" t="str">
        <f t="shared" si="49"/>
        <v>จากบัญชีของ สน.งปฯ ธ.ค.61</v>
      </c>
      <c r="K382" s="152"/>
      <c r="L382" s="152"/>
      <c r="M382" s="24"/>
      <c r="N382" s="126"/>
      <c r="O382" s="126"/>
      <c r="P382" s="126"/>
      <c r="Q382" s="126"/>
      <c r="R382" s="126"/>
      <c r="S382" s="126"/>
      <c r="T382" s="128"/>
      <c r="U382" s="128"/>
      <c r="V382" s="129" t="str">
        <f t="shared" si="48"/>
        <v>100</v>
      </c>
      <c r="W382" s="121">
        <f t="shared" si="47"/>
        <v>81</v>
      </c>
      <c r="X382" s="121"/>
      <c r="Y382" s="121"/>
      <c r="Z382" s="121"/>
      <c r="AA382" s="121"/>
    </row>
    <row r="383" spans="1:27" ht="37.5">
      <c r="A383" s="88"/>
      <c r="B383" s="121" t="s">
        <v>1440</v>
      </c>
      <c r="C383" s="121" t="s">
        <v>25</v>
      </c>
      <c r="D383" s="88" t="s">
        <v>26</v>
      </c>
      <c r="E383" s="24"/>
      <c r="F383" s="24" t="s">
        <v>1368</v>
      </c>
      <c r="G383" s="26" t="s">
        <v>78</v>
      </c>
      <c r="H383" s="122">
        <v>21400</v>
      </c>
      <c r="I383" s="123"/>
      <c r="J383" s="131" t="str">
        <f t="shared" si="49"/>
        <v>จากบัญชีของ สน.งปฯ ธ.ค.61</v>
      </c>
      <c r="K383" s="152"/>
      <c r="L383" s="152"/>
      <c r="M383" s="24"/>
      <c r="N383" s="126"/>
      <c r="O383" s="126"/>
      <c r="P383" s="126"/>
      <c r="Q383" s="126"/>
      <c r="R383" s="126"/>
      <c r="S383" s="126"/>
      <c r="T383" s="128"/>
      <c r="U383" s="128"/>
      <c r="V383" s="129" t="str">
        <f t="shared" si="48"/>
        <v>100</v>
      </c>
      <c r="W383" s="121">
        <f t="shared" si="47"/>
        <v>81</v>
      </c>
      <c r="X383" s="121"/>
      <c r="Y383" s="121"/>
      <c r="Z383" s="121"/>
      <c r="AA383" s="121"/>
    </row>
    <row r="384" spans="1:27" ht="37.5">
      <c r="A384" s="88"/>
      <c r="B384" s="121" t="s">
        <v>1441</v>
      </c>
      <c r="C384" s="121" t="s">
        <v>25</v>
      </c>
      <c r="D384" s="88" t="s">
        <v>26</v>
      </c>
      <c r="E384" s="24"/>
      <c r="F384" s="24" t="s">
        <v>1365</v>
      </c>
      <c r="G384" s="26" t="s">
        <v>78</v>
      </c>
      <c r="H384" s="122">
        <v>25000</v>
      </c>
      <c r="I384" s="123"/>
      <c r="J384" s="131" t="str">
        <f t="shared" si="49"/>
        <v>จากบัญชีของ สน.งปฯ ธ.ค.61</v>
      </c>
      <c r="K384" s="152"/>
      <c r="L384" s="152"/>
      <c r="M384" s="24"/>
      <c r="N384" s="126"/>
      <c r="O384" s="126"/>
      <c r="P384" s="126"/>
      <c r="Q384" s="126"/>
      <c r="R384" s="126"/>
      <c r="S384" s="126"/>
      <c r="T384" s="128"/>
      <c r="U384" s="128"/>
      <c r="V384" s="129" t="str">
        <f t="shared" si="48"/>
        <v>100</v>
      </c>
      <c r="W384" s="121">
        <f t="shared" si="47"/>
        <v>81</v>
      </c>
      <c r="X384" s="121"/>
      <c r="Y384" s="121"/>
      <c r="Z384" s="121"/>
      <c r="AA384" s="121"/>
    </row>
    <row r="385" spans="1:27" ht="37.5">
      <c r="A385" s="88"/>
      <c r="B385" s="121" t="s">
        <v>1442</v>
      </c>
      <c r="C385" s="121" t="s">
        <v>25</v>
      </c>
      <c r="D385" s="88" t="s">
        <v>26</v>
      </c>
      <c r="E385" s="24"/>
      <c r="F385" s="24" t="s">
        <v>1366</v>
      </c>
      <c r="G385" s="26" t="s">
        <v>78</v>
      </c>
      <c r="H385" s="122">
        <v>30000</v>
      </c>
      <c r="I385" s="123"/>
      <c r="J385" s="131" t="str">
        <f t="shared" si="49"/>
        <v>จากบัญชีของ สน.งปฯ ธ.ค.61</v>
      </c>
      <c r="K385" s="152"/>
      <c r="L385" s="152"/>
      <c r="M385" s="24"/>
      <c r="N385" s="126"/>
      <c r="O385" s="126"/>
      <c r="P385" s="126"/>
      <c r="Q385" s="126"/>
      <c r="R385" s="126"/>
      <c r="S385" s="126"/>
      <c r="T385" s="128"/>
      <c r="U385" s="128"/>
      <c r="V385" s="129" t="str">
        <f t="shared" si="48"/>
        <v>100</v>
      </c>
      <c r="W385" s="121">
        <f t="shared" si="47"/>
        <v>81</v>
      </c>
      <c r="X385" s="121"/>
      <c r="Y385" s="121"/>
      <c r="Z385" s="121"/>
      <c r="AA385" s="121"/>
    </row>
    <row r="386" spans="1:27" ht="37.5">
      <c r="A386" s="88"/>
      <c r="B386" s="121" t="s">
        <v>1443</v>
      </c>
      <c r="C386" s="121" t="s">
        <v>25</v>
      </c>
      <c r="D386" s="88" t="s">
        <v>26</v>
      </c>
      <c r="E386" s="24"/>
      <c r="F386" s="24" t="s">
        <v>1367</v>
      </c>
      <c r="G386" s="26" t="s">
        <v>78</v>
      </c>
      <c r="H386" s="122">
        <v>40000</v>
      </c>
      <c r="I386" s="123"/>
      <c r="J386" s="131" t="str">
        <f t="shared" si="49"/>
        <v>จากบัญชีของ สน.งปฯ ธ.ค.61</v>
      </c>
      <c r="K386" s="152"/>
      <c r="L386" s="152"/>
      <c r="M386" s="24"/>
      <c r="N386" s="126"/>
      <c r="O386" s="126"/>
      <c r="P386" s="126"/>
      <c r="Q386" s="126"/>
      <c r="R386" s="126"/>
      <c r="S386" s="126"/>
      <c r="T386" s="128"/>
      <c r="U386" s="128"/>
      <c r="V386" s="129" t="str">
        <f t="shared" si="48"/>
        <v>100</v>
      </c>
      <c r="W386" s="121">
        <f t="shared" si="47"/>
        <v>81</v>
      </c>
      <c r="X386" s="121"/>
      <c r="Y386" s="121"/>
      <c r="Z386" s="121"/>
      <c r="AA386" s="121"/>
    </row>
    <row r="387" spans="1:27" ht="37.5">
      <c r="A387" s="88"/>
      <c r="B387" s="121" t="s">
        <v>1444</v>
      </c>
      <c r="C387" s="121" t="s">
        <v>25</v>
      </c>
      <c r="D387" s="88" t="s">
        <v>26</v>
      </c>
      <c r="E387" s="24"/>
      <c r="F387" s="24" t="s">
        <v>1321</v>
      </c>
      <c r="G387" s="26" t="s">
        <v>78</v>
      </c>
      <c r="H387" s="122">
        <v>30100</v>
      </c>
      <c r="I387" s="123"/>
      <c r="J387" s="131" t="str">
        <f t="shared" si="49"/>
        <v>จากบัญชีของ สน.งปฯ ธ.ค.61</v>
      </c>
      <c r="K387" s="152"/>
      <c r="L387" s="152"/>
      <c r="M387" s="24"/>
      <c r="N387" s="126"/>
      <c r="O387" s="126"/>
      <c r="P387" s="126"/>
      <c r="Q387" s="126"/>
      <c r="R387" s="126"/>
      <c r="S387" s="126"/>
      <c r="T387" s="128"/>
      <c r="U387" s="128"/>
      <c r="V387" s="129" t="str">
        <f t="shared" si="48"/>
        <v>100</v>
      </c>
      <c r="W387" s="121">
        <f t="shared" si="47"/>
        <v>81</v>
      </c>
      <c r="X387" s="121"/>
      <c r="Y387" s="121"/>
      <c r="Z387" s="121"/>
      <c r="AA387" s="121"/>
    </row>
    <row r="388" spans="1:27" ht="37.5">
      <c r="A388" s="88"/>
      <c r="B388" s="121" t="s">
        <v>1445</v>
      </c>
      <c r="C388" s="121" t="s">
        <v>25</v>
      </c>
      <c r="D388" s="88" t="s">
        <v>26</v>
      </c>
      <c r="E388" s="24"/>
      <c r="F388" s="24" t="s">
        <v>1318</v>
      </c>
      <c r="G388" s="26" t="s">
        <v>78</v>
      </c>
      <c r="H388" s="122">
        <v>25900</v>
      </c>
      <c r="I388" s="123"/>
      <c r="J388" s="131" t="str">
        <f t="shared" si="49"/>
        <v>จากบัญชีของ สน.งปฯ ธ.ค.61</v>
      </c>
      <c r="K388" s="152"/>
      <c r="L388" s="152"/>
      <c r="M388" s="24"/>
      <c r="N388" s="126"/>
      <c r="O388" s="126"/>
      <c r="P388" s="126"/>
      <c r="Q388" s="126"/>
      <c r="R388" s="126"/>
      <c r="S388" s="126"/>
      <c r="T388" s="128"/>
      <c r="U388" s="128"/>
      <c r="V388" s="129" t="str">
        <f t="shared" si="48"/>
        <v>100</v>
      </c>
      <c r="W388" s="121">
        <f t="shared" si="47"/>
        <v>81</v>
      </c>
      <c r="X388" s="121"/>
      <c r="Y388" s="121"/>
      <c r="Z388" s="121"/>
      <c r="AA388" s="121"/>
    </row>
    <row r="389" spans="1:27" ht="37.5">
      <c r="A389" s="88"/>
      <c r="B389" s="121" t="s">
        <v>1446</v>
      </c>
      <c r="C389" s="121" t="s">
        <v>25</v>
      </c>
      <c r="D389" s="88" t="s">
        <v>26</v>
      </c>
      <c r="E389" s="24"/>
      <c r="F389" s="24" t="s">
        <v>1322</v>
      </c>
      <c r="G389" s="26" t="s">
        <v>78</v>
      </c>
      <c r="H389" s="122">
        <v>34800</v>
      </c>
      <c r="I389" s="123"/>
      <c r="J389" s="131" t="str">
        <f t="shared" si="49"/>
        <v>จากบัญชีของ สน.งปฯ ธ.ค.61</v>
      </c>
      <c r="K389" s="152"/>
      <c r="L389" s="152"/>
      <c r="M389" s="24"/>
      <c r="N389" s="126"/>
      <c r="O389" s="126"/>
      <c r="P389" s="126"/>
      <c r="Q389" s="126"/>
      <c r="R389" s="126"/>
      <c r="S389" s="126"/>
      <c r="T389" s="128"/>
      <c r="U389" s="128"/>
      <c r="V389" s="129" t="str">
        <f t="shared" si="48"/>
        <v>100</v>
      </c>
      <c r="W389" s="121">
        <f t="shared" si="47"/>
        <v>81</v>
      </c>
      <c r="X389" s="121"/>
      <c r="Y389" s="121"/>
      <c r="Z389" s="121"/>
      <c r="AA389" s="121"/>
    </row>
    <row r="390" spans="1:27" ht="37.5">
      <c r="A390" s="88"/>
      <c r="B390" s="121" t="s">
        <v>1447</v>
      </c>
      <c r="C390" s="121" t="s">
        <v>25</v>
      </c>
      <c r="D390" s="88" t="s">
        <v>26</v>
      </c>
      <c r="E390" s="24"/>
      <c r="F390" s="24" t="s">
        <v>1324</v>
      </c>
      <c r="G390" s="26" t="s">
        <v>78</v>
      </c>
      <c r="H390" s="122">
        <v>41500</v>
      </c>
      <c r="I390" s="123"/>
      <c r="J390" s="131" t="str">
        <f t="shared" si="49"/>
        <v>จากบัญชีของ สน.งปฯ ธ.ค.61</v>
      </c>
      <c r="K390" s="152"/>
      <c r="L390" s="152"/>
      <c r="M390" s="24"/>
      <c r="N390" s="126"/>
      <c r="O390" s="126"/>
      <c r="P390" s="126"/>
      <c r="Q390" s="126"/>
      <c r="R390" s="126"/>
      <c r="S390" s="126"/>
      <c r="T390" s="128"/>
      <c r="U390" s="128"/>
      <c r="V390" s="129" t="str">
        <f t="shared" si="48"/>
        <v>100</v>
      </c>
      <c r="W390" s="121">
        <f t="shared" si="47"/>
        <v>81</v>
      </c>
      <c r="X390" s="121"/>
      <c r="Y390" s="121"/>
      <c r="Z390" s="121"/>
      <c r="AA390" s="121"/>
    </row>
    <row r="391" spans="1:27" ht="37.5">
      <c r="A391" s="88"/>
      <c r="B391" s="121" t="s">
        <v>1448</v>
      </c>
      <c r="C391" s="121" t="s">
        <v>25</v>
      </c>
      <c r="D391" s="88" t="s">
        <v>26</v>
      </c>
      <c r="E391" s="24"/>
      <c r="F391" s="24" t="s">
        <v>1326</v>
      </c>
      <c r="G391" s="26" t="s">
        <v>78</v>
      </c>
      <c r="H391" s="122">
        <v>43400</v>
      </c>
      <c r="I391" s="123"/>
      <c r="J391" s="131" t="str">
        <f t="shared" si="49"/>
        <v>จากบัญชีของ สน.งปฯ ธ.ค.61</v>
      </c>
      <c r="K391" s="152"/>
      <c r="L391" s="152"/>
      <c r="M391" s="24"/>
      <c r="N391" s="126"/>
      <c r="O391" s="126"/>
      <c r="P391" s="126"/>
      <c r="Q391" s="126"/>
      <c r="R391" s="126"/>
      <c r="S391" s="126"/>
      <c r="T391" s="128"/>
      <c r="U391" s="128"/>
      <c r="V391" s="129" t="str">
        <f t="shared" si="48"/>
        <v>100</v>
      </c>
      <c r="W391" s="121">
        <f t="shared" si="47"/>
        <v>81</v>
      </c>
      <c r="X391" s="121"/>
      <c r="Y391" s="121"/>
      <c r="Z391" s="121"/>
      <c r="AA391" s="121"/>
    </row>
    <row r="392" spans="1:27" ht="37.5">
      <c r="A392" s="88"/>
      <c r="B392" s="121" t="s">
        <v>1449</v>
      </c>
      <c r="C392" s="121" t="s">
        <v>25</v>
      </c>
      <c r="D392" s="88" t="s">
        <v>26</v>
      </c>
      <c r="E392" s="24"/>
      <c r="F392" s="24" t="s">
        <v>1319</v>
      </c>
      <c r="G392" s="26" t="s">
        <v>78</v>
      </c>
      <c r="H392" s="122">
        <v>36000</v>
      </c>
      <c r="I392" s="123"/>
      <c r="J392" s="131" t="str">
        <f t="shared" si="49"/>
        <v>จากบัญชีของ สน.งปฯ ธ.ค.61</v>
      </c>
      <c r="K392" s="152"/>
      <c r="L392" s="152"/>
      <c r="M392" s="24"/>
      <c r="N392" s="126"/>
      <c r="O392" s="126"/>
      <c r="P392" s="126"/>
      <c r="Q392" s="126"/>
      <c r="R392" s="126"/>
      <c r="S392" s="126"/>
      <c r="T392" s="128"/>
      <c r="U392" s="128"/>
      <c r="V392" s="129" t="str">
        <f t="shared" si="48"/>
        <v>100</v>
      </c>
      <c r="W392" s="121">
        <f t="shared" si="47"/>
        <v>81</v>
      </c>
      <c r="X392" s="121"/>
      <c r="Y392" s="121"/>
      <c r="Z392" s="121"/>
      <c r="AA392" s="121"/>
    </row>
    <row r="393" spans="1:27" ht="37.5">
      <c r="A393" s="88"/>
      <c r="B393" s="121" t="s">
        <v>1450</v>
      </c>
      <c r="C393" s="121" t="s">
        <v>25</v>
      </c>
      <c r="D393" s="88" t="s">
        <v>26</v>
      </c>
      <c r="E393" s="24"/>
      <c r="F393" s="24" t="s">
        <v>1328</v>
      </c>
      <c r="G393" s="26" t="s">
        <v>78</v>
      </c>
      <c r="H393" s="122">
        <v>48100</v>
      </c>
      <c r="I393" s="123"/>
      <c r="J393" s="131" t="str">
        <f t="shared" si="49"/>
        <v>จากบัญชีของ สน.งปฯ ธ.ค.61</v>
      </c>
      <c r="K393" s="152"/>
      <c r="L393" s="152"/>
      <c r="M393" s="24"/>
      <c r="N393" s="126"/>
      <c r="O393" s="126"/>
      <c r="P393" s="126"/>
      <c r="Q393" s="126"/>
      <c r="R393" s="126"/>
      <c r="S393" s="126"/>
      <c r="T393" s="128"/>
      <c r="U393" s="128"/>
      <c r="V393" s="129" t="str">
        <f t="shared" si="48"/>
        <v>100</v>
      </c>
      <c r="W393" s="121">
        <f t="shared" si="47"/>
        <v>81</v>
      </c>
      <c r="X393" s="121"/>
      <c r="Y393" s="121"/>
      <c r="Z393" s="121"/>
      <c r="AA393" s="121"/>
    </row>
    <row r="394" spans="1:27" ht="37.5">
      <c r="A394" s="88"/>
      <c r="B394" s="121" t="s">
        <v>1451</v>
      </c>
      <c r="C394" s="121" t="s">
        <v>25</v>
      </c>
      <c r="D394" s="88" t="s">
        <v>26</v>
      </c>
      <c r="E394" s="24"/>
      <c r="F394" s="24" t="s">
        <v>1320</v>
      </c>
      <c r="G394" s="26" t="s">
        <v>78</v>
      </c>
      <c r="H394" s="122">
        <v>42300</v>
      </c>
      <c r="I394" s="123"/>
      <c r="J394" s="131" t="str">
        <f t="shared" si="49"/>
        <v>จากบัญชีของ สน.งปฯ ธ.ค.61</v>
      </c>
      <c r="K394" s="152"/>
      <c r="L394" s="152"/>
      <c r="M394" s="24"/>
      <c r="N394" s="126"/>
      <c r="O394" s="126"/>
      <c r="P394" s="126"/>
      <c r="Q394" s="126"/>
      <c r="R394" s="126"/>
      <c r="S394" s="126"/>
      <c r="T394" s="128"/>
      <c r="U394" s="128"/>
      <c r="V394" s="129" t="str">
        <f t="shared" si="48"/>
        <v>100</v>
      </c>
      <c r="W394" s="121">
        <f t="shared" si="47"/>
        <v>81</v>
      </c>
      <c r="X394" s="121"/>
      <c r="Y394" s="121"/>
      <c r="Z394" s="121"/>
      <c r="AA394" s="121"/>
    </row>
    <row r="395" spans="1:27" ht="37.5">
      <c r="A395" s="88"/>
      <c r="B395" s="121" t="s">
        <v>1452</v>
      </c>
      <c r="C395" s="121" t="s">
        <v>25</v>
      </c>
      <c r="D395" s="88" t="s">
        <v>26</v>
      </c>
      <c r="E395" s="24"/>
      <c r="F395" s="24" t="s">
        <v>1330</v>
      </c>
      <c r="G395" s="26" t="s">
        <v>78</v>
      </c>
      <c r="H395" s="122">
        <v>55400</v>
      </c>
      <c r="I395" s="123"/>
      <c r="J395" s="131" t="str">
        <f t="shared" si="49"/>
        <v>จากบัญชีของ สน.งปฯ ธ.ค.61</v>
      </c>
      <c r="K395" s="152"/>
      <c r="L395" s="152"/>
      <c r="M395" s="24"/>
      <c r="N395" s="126"/>
      <c r="O395" s="126"/>
      <c r="P395" s="126"/>
      <c r="Q395" s="126"/>
      <c r="R395" s="126"/>
      <c r="S395" s="126"/>
      <c r="T395" s="128"/>
      <c r="U395" s="128"/>
      <c r="V395" s="129" t="str">
        <f t="shared" si="48"/>
        <v>100</v>
      </c>
      <c r="W395" s="121">
        <f t="shared" si="47"/>
        <v>81</v>
      </c>
      <c r="X395" s="121"/>
      <c r="Y395" s="121"/>
      <c r="Z395" s="121"/>
      <c r="AA395" s="121"/>
    </row>
    <row r="396" spans="1:27" ht="37.5">
      <c r="A396" s="88"/>
      <c r="B396" s="121" t="s">
        <v>1453</v>
      </c>
      <c r="C396" s="121" t="s">
        <v>25</v>
      </c>
      <c r="D396" s="88" t="s">
        <v>26</v>
      </c>
      <c r="E396" s="24"/>
      <c r="F396" s="24" t="s">
        <v>1332</v>
      </c>
      <c r="G396" s="26" t="s">
        <v>78</v>
      </c>
      <c r="H396" s="122">
        <v>62700</v>
      </c>
      <c r="I396" s="123"/>
      <c r="J396" s="131" t="str">
        <f t="shared" si="49"/>
        <v>จากบัญชีของ สน.งปฯ ธ.ค.61</v>
      </c>
      <c r="K396" s="152"/>
      <c r="L396" s="152"/>
      <c r="M396" s="24"/>
      <c r="N396" s="126"/>
      <c r="O396" s="126"/>
      <c r="P396" s="126"/>
      <c r="Q396" s="126"/>
      <c r="R396" s="126"/>
      <c r="S396" s="126"/>
      <c r="T396" s="128"/>
      <c r="U396" s="128"/>
      <c r="V396" s="129" t="str">
        <f t="shared" si="48"/>
        <v>100</v>
      </c>
      <c r="W396" s="121">
        <f t="shared" si="47"/>
        <v>81</v>
      </c>
      <c r="X396" s="121"/>
      <c r="Y396" s="121"/>
      <c r="Z396" s="121"/>
      <c r="AA396" s="121"/>
    </row>
    <row r="397" spans="1:27" ht="37.5">
      <c r="A397" s="88"/>
      <c r="B397" s="121" t="s">
        <v>1454</v>
      </c>
      <c r="C397" s="121" t="s">
        <v>25</v>
      </c>
      <c r="D397" s="88" t="s">
        <v>26</v>
      </c>
      <c r="E397" s="24"/>
      <c r="F397" s="24" t="s">
        <v>691</v>
      </c>
      <c r="G397" s="26" t="s">
        <v>78</v>
      </c>
      <c r="H397" s="122">
        <v>53300</v>
      </c>
      <c r="I397" s="123"/>
      <c r="J397" s="131" t="str">
        <f t="shared" si="49"/>
        <v>จากบัญชีของ สน.งปฯ ธ.ค.61</v>
      </c>
      <c r="K397" s="152"/>
      <c r="L397" s="152"/>
      <c r="M397" s="24"/>
      <c r="N397" s="126"/>
      <c r="O397" s="126"/>
      <c r="P397" s="126"/>
      <c r="Q397" s="126"/>
      <c r="R397" s="126"/>
      <c r="S397" s="126"/>
      <c r="T397" s="128"/>
      <c r="U397" s="128"/>
      <c r="V397" s="129" t="str">
        <f t="shared" si="48"/>
        <v>100</v>
      </c>
      <c r="W397" s="121">
        <f t="shared" si="47"/>
        <v>81</v>
      </c>
      <c r="X397" s="121"/>
      <c r="Y397" s="121"/>
      <c r="Z397" s="121"/>
      <c r="AA397" s="121"/>
    </row>
    <row r="398" spans="1:27" ht="37.5">
      <c r="A398" s="88"/>
      <c r="B398" s="121" t="s">
        <v>1455</v>
      </c>
      <c r="C398" s="121" t="s">
        <v>25</v>
      </c>
      <c r="D398" s="88" t="s">
        <v>26</v>
      </c>
      <c r="E398" s="24"/>
      <c r="F398" s="24" t="s">
        <v>1334</v>
      </c>
      <c r="G398" s="26" t="s">
        <v>78</v>
      </c>
      <c r="H398" s="122">
        <v>71000</v>
      </c>
      <c r="I398" s="123"/>
      <c r="J398" s="131" t="str">
        <f t="shared" si="49"/>
        <v>จากบัญชีของ สน.งปฯ ธ.ค.61</v>
      </c>
      <c r="K398" s="152"/>
      <c r="L398" s="152"/>
      <c r="M398" s="24"/>
      <c r="N398" s="126"/>
      <c r="O398" s="126"/>
      <c r="P398" s="126"/>
      <c r="Q398" s="126"/>
      <c r="R398" s="126"/>
      <c r="S398" s="126"/>
      <c r="T398" s="128"/>
      <c r="U398" s="128"/>
      <c r="V398" s="129" t="str">
        <f t="shared" si="48"/>
        <v>100</v>
      </c>
      <c r="W398" s="121">
        <f t="shared" si="47"/>
        <v>81</v>
      </c>
      <c r="X398" s="121"/>
      <c r="Y398" s="121"/>
      <c r="Z398" s="121"/>
      <c r="AA398" s="121"/>
    </row>
    <row r="399" spans="1:27" ht="37.5">
      <c r="A399" s="88"/>
      <c r="B399" s="121" t="s">
        <v>1456</v>
      </c>
      <c r="C399" s="121" t="s">
        <v>25</v>
      </c>
      <c r="D399" s="88" t="s">
        <v>26</v>
      </c>
      <c r="E399" s="24"/>
      <c r="F399" s="24" t="s">
        <v>701</v>
      </c>
      <c r="G399" s="26" t="s">
        <v>78</v>
      </c>
      <c r="H399" s="122">
        <v>57000</v>
      </c>
      <c r="I399" s="123"/>
      <c r="J399" s="131" t="str">
        <f t="shared" si="49"/>
        <v>จากบัญชีของ สน.งปฯ ธ.ค.61</v>
      </c>
      <c r="K399" s="152"/>
      <c r="L399" s="152"/>
      <c r="M399" s="46"/>
      <c r="N399" s="126"/>
      <c r="O399" s="126"/>
      <c r="P399" s="126"/>
      <c r="Q399" s="126"/>
      <c r="R399" s="126"/>
      <c r="S399" s="126"/>
      <c r="T399" s="128"/>
      <c r="U399" s="128"/>
      <c r="V399" s="129" t="str">
        <f t="shared" si="48"/>
        <v>100</v>
      </c>
      <c r="W399" s="121">
        <f t="shared" si="47"/>
        <v>81</v>
      </c>
      <c r="X399" s="121"/>
      <c r="Y399" s="121"/>
      <c r="Z399" s="121"/>
      <c r="AA399" s="121"/>
    </row>
    <row r="400" spans="1:27" ht="37.5">
      <c r="A400" s="88"/>
      <c r="B400" s="121" t="s">
        <v>1457</v>
      </c>
      <c r="C400" s="121" t="s">
        <v>25</v>
      </c>
      <c r="D400" s="88" t="s">
        <v>26</v>
      </c>
      <c r="E400" s="24"/>
      <c r="F400" s="24" t="s">
        <v>1338</v>
      </c>
      <c r="G400" s="26" t="s">
        <v>78</v>
      </c>
      <c r="H400" s="122">
        <v>24200</v>
      </c>
      <c r="I400" s="123"/>
      <c r="J400" s="131" t="str">
        <f t="shared" si="49"/>
        <v>จากบัญชีของ สน.งปฯ ธ.ค.61</v>
      </c>
      <c r="K400" s="152"/>
      <c r="L400" s="152"/>
      <c r="M400" s="24"/>
      <c r="N400" s="126"/>
      <c r="O400" s="126"/>
      <c r="P400" s="126"/>
      <c r="Q400" s="126"/>
      <c r="R400" s="126"/>
      <c r="S400" s="126"/>
      <c r="T400" s="128"/>
      <c r="U400" s="128"/>
      <c r="V400" s="129" t="str">
        <f t="shared" si="48"/>
        <v>100</v>
      </c>
      <c r="W400" s="121">
        <f t="shared" si="47"/>
        <v>81</v>
      </c>
      <c r="X400" s="121"/>
      <c r="Y400" s="121"/>
      <c r="Z400" s="121"/>
      <c r="AA400" s="121"/>
    </row>
    <row r="401" spans="1:27" ht="37.5">
      <c r="A401" s="88"/>
      <c r="B401" s="121" t="s">
        <v>1458</v>
      </c>
      <c r="C401" s="121" t="s">
        <v>25</v>
      </c>
      <c r="D401" s="88" t="s">
        <v>26</v>
      </c>
      <c r="E401" s="24"/>
      <c r="F401" s="24" t="s">
        <v>1339</v>
      </c>
      <c r="G401" s="26" t="s">
        <v>78</v>
      </c>
      <c r="H401" s="122">
        <v>27400</v>
      </c>
      <c r="I401" s="123"/>
      <c r="J401" s="131" t="str">
        <f t="shared" si="49"/>
        <v>จากบัญชีของ สน.งปฯ ธ.ค.61</v>
      </c>
      <c r="K401" s="152"/>
      <c r="L401" s="152"/>
      <c r="M401" s="24"/>
      <c r="N401" s="126"/>
      <c r="O401" s="126"/>
      <c r="P401" s="126"/>
      <c r="Q401" s="126"/>
      <c r="R401" s="126"/>
      <c r="S401" s="126"/>
      <c r="T401" s="128"/>
      <c r="U401" s="128"/>
      <c r="V401" s="129" t="str">
        <f t="shared" si="48"/>
        <v>100</v>
      </c>
      <c r="W401" s="121">
        <f t="shared" si="47"/>
        <v>81</v>
      </c>
      <c r="X401" s="121"/>
      <c r="Y401" s="121"/>
      <c r="Z401" s="121"/>
      <c r="AA401" s="121"/>
    </row>
    <row r="402" spans="1:27" ht="37.5">
      <c r="A402" s="88"/>
      <c r="B402" s="121" t="s">
        <v>1459</v>
      </c>
      <c r="C402" s="121" t="s">
        <v>25</v>
      </c>
      <c r="D402" s="88" t="s">
        <v>26</v>
      </c>
      <c r="E402" s="24"/>
      <c r="F402" s="24" t="s">
        <v>1340</v>
      </c>
      <c r="G402" s="26" t="s">
        <v>78</v>
      </c>
      <c r="H402" s="122">
        <v>29900</v>
      </c>
      <c r="I402" s="123"/>
      <c r="J402" s="131" t="str">
        <f t="shared" si="49"/>
        <v>จากบัญชีของ สน.งปฯ ธ.ค.61</v>
      </c>
      <c r="K402" s="152"/>
      <c r="L402" s="152"/>
      <c r="M402" s="24"/>
      <c r="N402" s="126"/>
      <c r="O402" s="126"/>
      <c r="P402" s="126"/>
      <c r="Q402" s="126"/>
      <c r="R402" s="126"/>
      <c r="S402" s="126"/>
      <c r="T402" s="128"/>
      <c r="U402" s="128"/>
      <c r="V402" s="129" t="str">
        <f t="shared" si="48"/>
        <v>100</v>
      </c>
      <c r="W402" s="121">
        <f t="shared" si="47"/>
        <v>81</v>
      </c>
      <c r="X402" s="121"/>
      <c r="Y402" s="121"/>
      <c r="Z402" s="121"/>
      <c r="AA402" s="121"/>
    </row>
    <row r="403" spans="1:27" ht="37.5">
      <c r="A403" s="88"/>
      <c r="B403" s="121" t="s">
        <v>1460</v>
      </c>
      <c r="C403" s="121" t="s">
        <v>25</v>
      </c>
      <c r="D403" s="88" t="s">
        <v>26</v>
      </c>
      <c r="E403" s="24"/>
      <c r="F403" s="24" t="s">
        <v>1341</v>
      </c>
      <c r="G403" s="26" t="s">
        <v>78</v>
      </c>
      <c r="H403" s="122">
        <v>36400</v>
      </c>
      <c r="I403" s="123"/>
      <c r="J403" s="131" t="str">
        <f t="shared" si="49"/>
        <v>จากบัญชีของ สน.งปฯ ธ.ค.61</v>
      </c>
      <c r="K403" s="152"/>
      <c r="L403" s="152"/>
      <c r="M403" s="24"/>
      <c r="N403" s="126"/>
      <c r="O403" s="126"/>
      <c r="P403" s="126"/>
      <c r="Q403" s="126"/>
      <c r="R403" s="126"/>
      <c r="S403" s="126"/>
      <c r="T403" s="128"/>
      <c r="U403" s="128"/>
      <c r="V403" s="129" t="str">
        <f t="shared" si="48"/>
        <v>100</v>
      </c>
      <c r="W403" s="121">
        <f t="shared" si="47"/>
        <v>81</v>
      </c>
      <c r="X403" s="121"/>
      <c r="Y403" s="121"/>
      <c r="Z403" s="121"/>
      <c r="AA403" s="121"/>
    </row>
    <row r="404" spans="1:27" ht="37.5">
      <c r="A404" s="88"/>
      <c r="B404" s="121" t="s">
        <v>1461</v>
      </c>
      <c r="C404" s="121" t="s">
        <v>25</v>
      </c>
      <c r="D404" s="88" t="s">
        <v>26</v>
      </c>
      <c r="E404" s="24"/>
      <c r="F404" s="24" t="s">
        <v>1342</v>
      </c>
      <c r="G404" s="26" t="s">
        <v>78</v>
      </c>
      <c r="H404" s="122">
        <v>58000</v>
      </c>
      <c r="I404" s="123"/>
      <c r="J404" s="131" t="str">
        <f t="shared" si="49"/>
        <v>จากบัญชีของ สน.งปฯ ธ.ค.61</v>
      </c>
      <c r="K404" s="152"/>
      <c r="L404" s="152"/>
      <c r="M404" s="24"/>
      <c r="N404" s="126"/>
      <c r="O404" s="126"/>
      <c r="P404" s="126"/>
      <c r="Q404" s="126"/>
      <c r="R404" s="126"/>
      <c r="S404" s="126"/>
      <c r="T404" s="128"/>
      <c r="U404" s="128"/>
      <c r="V404" s="129" t="str">
        <f t="shared" si="48"/>
        <v>100</v>
      </c>
      <c r="W404" s="121">
        <f t="shared" si="47"/>
        <v>81</v>
      </c>
      <c r="X404" s="121"/>
      <c r="Y404" s="121"/>
      <c r="Z404" s="121"/>
      <c r="AA404" s="121"/>
    </row>
    <row r="405" spans="1:27" ht="37.5">
      <c r="A405" s="88"/>
      <c r="B405" s="121" t="s">
        <v>1462</v>
      </c>
      <c r="C405" s="121" t="s">
        <v>25</v>
      </c>
      <c r="D405" s="88" t="s">
        <v>26</v>
      </c>
      <c r="E405" s="24"/>
      <c r="F405" s="24" t="s">
        <v>1343</v>
      </c>
      <c r="G405" s="26" t="s">
        <v>78</v>
      </c>
      <c r="H405" s="122">
        <v>61000</v>
      </c>
      <c r="I405" s="123"/>
      <c r="J405" s="131" t="str">
        <f t="shared" si="49"/>
        <v>จากบัญชีของ สน.งปฯ ธ.ค.61</v>
      </c>
      <c r="K405" s="152"/>
      <c r="L405" s="152"/>
      <c r="M405" s="24"/>
      <c r="N405" s="126"/>
      <c r="O405" s="126"/>
      <c r="P405" s="126"/>
      <c r="Q405" s="126"/>
      <c r="R405" s="126"/>
      <c r="S405" s="126"/>
      <c r="T405" s="128"/>
      <c r="U405" s="128"/>
      <c r="V405" s="129" t="str">
        <f t="shared" si="48"/>
        <v>100</v>
      </c>
      <c r="W405" s="121">
        <f t="shared" si="47"/>
        <v>81</v>
      </c>
      <c r="X405" s="121"/>
      <c r="Y405" s="121"/>
      <c r="Z405" s="121"/>
      <c r="AA405" s="121"/>
    </row>
    <row r="406" spans="1:27" ht="37.5">
      <c r="A406" s="88"/>
      <c r="B406" s="121" t="s">
        <v>1463</v>
      </c>
      <c r="C406" s="121" t="s">
        <v>25</v>
      </c>
      <c r="D406" s="88" t="s">
        <v>26</v>
      </c>
      <c r="E406" s="24"/>
      <c r="F406" s="24" t="s">
        <v>1308</v>
      </c>
      <c r="G406" s="26" t="s">
        <v>78</v>
      </c>
      <c r="H406" s="122">
        <v>20000</v>
      </c>
      <c r="I406" s="123"/>
      <c r="J406" s="131" t="str">
        <f t="shared" si="49"/>
        <v>จากบัญชีของ สน.งปฯ ธ.ค.61</v>
      </c>
      <c r="K406" s="152"/>
      <c r="L406" s="152"/>
      <c r="M406" s="24"/>
      <c r="N406" s="126"/>
      <c r="O406" s="126"/>
      <c r="P406" s="126"/>
      <c r="Q406" s="126"/>
      <c r="R406" s="126"/>
      <c r="S406" s="126"/>
      <c r="T406" s="128"/>
      <c r="U406" s="128"/>
      <c r="V406" s="129" t="str">
        <f t="shared" si="48"/>
        <v>100</v>
      </c>
      <c r="W406" s="121">
        <f t="shared" si="47"/>
        <v>81</v>
      </c>
      <c r="X406" s="121"/>
      <c r="Y406" s="121"/>
      <c r="Z406" s="121"/>
      <c r="AA406" s="121"/>
    </row>
    <row r="407" spans="1:27" ht="37.5">
      <c r="A407" s="88"/>
      <c r="B407" s="121" t="s">
        <v>1395</v>
      </c>
      <c r="C407" s="121" t="s">
        <v>1396</v>
      </c>
      <c r="D407" s="88" t="s">
        <v>26</v>
      </c>
      <c r="E407" s="24"/>
      <c r="F407" s="24" t="s">
        <v>1397</v>
      </c>
      <c r="G407" s="26" t="s">
        <v>273</v>
      </c>
      <c r="H407" s="122">
        <v>47000</v>
      </c>
      <c r="I407" s="123"/>
      <c r="J407" s="131" t="str">
        <f t="shared" si="49"/>
        <v>จากบัญชีของ สน.งปฯ ธ.ค.61</v>
      </c>
      <c r="K407" s="152"/>
      <c r="L407" s="152"/>
      <c r="M407" s="24"/>
      <c r="N407" s="126"/>
      <c r="O407" s="126"/>
      <c r="P407" s="126"/>
      <c r="Q407" s="126"/>
      <c r="R407" s="126"/>
      <c r="S407" s="126"/>
      <c r="T407" s="128"/>
      <c r="U407" s="128"/>
      <c r="V407" s="129"/>
      <c r="W407" s="121"/>
      <c r="X407" s="121"/>
      <c r="Y407" s="121"/>
      <c r="Z407" s="121"/>
      <c r="AA407" s="121"/>
    </row>
    <row r="408" spans="1:27" ht="37.5">
      <c r="A408" s="88"/>
      <c r="B408" s="121" t="s">
        <v>1398</v>
      </c>
      <c r="C408" s="121" t="s">
        <v>1396</v>
      </c>
      <c r="D408" s="88" t="s">
        <v>26</v>
      </c>
      <c r="E408" s="24"/>
      <c r="F408" s="24" t="s">
        <v>1399</v>
      </c>
      <c r="G408" s="26" t="s">
        <v>78</v>
      </c>
      <c r="H408" s="122">
        <v>55000</v>
      </c>
      <c r="I408" s="123"/>
      <c r="J408" s="131" t="str">
        <f t="shared" si="49"/>
        <v>จากบัญชีของ สน.งปฯ ธ.ค.61</v>
      </c>
      <c r="K408" s="152"/>
      <c r="L408" s="152"/>
      <c r="M408" s="24"/>
      <c r="N408" s="126"/>
      <c r="O408" s="126"/>
      <c r="P408" s="126"/>
      <c r="Q408" s="126"/>
      <c r="R408" s="126"/>
      <c r="S408" s="126"/>
      <c r="T408" s="128"/>
      <c r="U408" s="128"/>
      <c r="V408" s="129"/>
      <c r="W408" s="121"/>
      <c r="X408" s="121"/>
      <c r="Y408" s="121"/>
      <c r="Z408" s="121"/>
      <c r="AA408" s="142"/>
    </row>
  </sheetData>
  <autoFilter ref="A1:Z408" xr:uid="{00000000-0009-0000-0000-000009000000}"/>
  <dataValidations count="11">
    <dataValidation type="list" allowBlank="1" sqref="S14 S18 S52 S69 S79 S81 S91 S96 S98 S118:S119 S124 S126:S127 S133 S178 S181 S311" xr:uid="{00000000-0002-0000-0900-000000000000}">
      <formula1>"ยังไม่่ส่งไฟล์ ที่ใช้ในการประชุม,พร้อม"</formula1>
    </dataValidation>
    <dataValidation type="list" allowBlank="1" sqref="C3:C20 C22:C23 C26:C28 C30:C40 C42:C47 C49:C60 C62:C77 O90 C79:C98 C110:C116 C118:C130 C132:C168 C170:C178 C180:C182 C184:C189 C191:C193 C195:C220 C223:C224 C226:C227 C230:C231 C233:C275 C277:C282 C285:C311 C313 C315:C316 C319:C321 C323:C324" xr:uid="{00000000-0002-0000-0900-000001000000}">
      <formula1>"กวก.ฯ,กอค.ฯ,กสน.ฯ,กรง.ฯ,กดก.ฯ,กปภ.ฯ,กฟฟ.ฯ,ชย.ทอ."</formula1>
    </dataValidation>
    <dataValidation type="list" allowBlank="1" sqref="N14 N18 N52 N69 N79 N81 N91 N96 N98 N118:N119 N124 N126:N127 N133 N178 N181 N311" xr:uid="{00000000-0002-0000-0900-000002000000}">
      <formula1>"ไม่ผ่านการประชุมขากกองฯ,พร้อม"</formula1>
    </dataValidation>
    <dataValidation type="list" allowBlank="1" sqref="A64 A303 A306:A307" xr:uid="{00000000-0002-0000-0900-000003000000}">
      <formula1>"รอการขอยกเลิกคุณลักษณะ,รอเข้าพิจารณา คุณลักษณะฯ,อยู่ระหว่างการพิจารณา คุณลักษณะฯ,ผ่านการพิจารณา รอ จก.ชย.ทอ.ลงนาม,รอเข้าพิจารณา คำแนะนำฯ,อยู่ระหว่างการพิจารณา คำแนะนำฯ,ผ่านการพิจารณาคำแนะนำ รอ จก.ชย.ทอ.ลงนาม.,เอกสารไม่พร้อมเข้าประชุม"</formula1>
    </dataValidation>
    <dataValidation type="list" allowBlank="1" sqref="R14 R18 R52 R69 R79 R81 R91 R96 R98 R118:R119 R124 R126:R127 R133 R178 R181 R311" xr:uid="{00000000-0002-0000-0900-000004000000}">
      <formula1>"ยังไม่ถ่ายสำเนาให้กรรมการ 12 ชุด,พร้อม"</formula1>
    </dataValidation>
    <dataValidation type="list" allowBlank="1" sqref="O14 O18 O52 O69 O79 O81 O91 O96 O98 O118:O119 O124 O126:O127 O133 O178 O181 O311" xr:uid="{00000000-0002-0000-0900-000005000000}">
      <formula1>"เอกสารคู่เทียบไม่พร้อม,พร้อม"</formula1>
    </dataValidation>
    <dataValidation type="list" allowBlank="1" sqref="A3:A20 A22 A26:A28 A30:A40 A42:A47 A49:A60 A62:A63 A65:A77 A79:A116 A118:A130 A132:A168 A170:A178 A180:A182 A184:A189 A191:A193 A195:A220 A223:A224 A226:A227 A230:A231 A233:A275 A277:A282 A285:A295 A297:A302 A304:A305 A308:A311 A313:A316 A319:A321 A323:A324 A326:A408" xr:uid="{00000000-0002-0000-0900-000006000000}">
      <formula1>"รอการขอยกเลิกคุณลักษณะ,รอเข้าพิจารณา คุณลักษณะฯ,อยู่ระหว่างการพิจารณา คุณลักษณะฯ,ผ่านการพิจารณา รอ จก.ชย.ทอ.ลงนาม,รอเข้าพิจารณา คำแนะนำฯ,อยู่ระหว่างการพิจารณา คำแนะนำฯ,ผ่านการพิจารณาคำแนะนำ รอ จก.ชย.ทอ.ลงนาม"</formula1>
    </dataValidation>
    <dataValidation type="list" allowBlank="1" sqref="P14 P18 P52 P69 P79 P81 P91 P96 P98 P118:P119 P124 P126:P127 P133 P178 P181 P311" xr:uid="{00000000-0002-0000-0900-000007000000}">
      <formula1>"ตารางเปรียบเทียบคุณสมบัติ,พร้อม"</formula1>
    </dataValidation>
    <dataValidation type="list" allowBlank="1" sqref="A23" xr:uid="{00000000-0002-0000-0900-000008000000}">
      <formula1>"รอเข้าพิจารณา คุณลักษณะฯ,รอเข้าพิจารณา คำแนะนำฯ,อยู่ระหว่างการพิจารณา คุณลักษณะฯ,อยู่ระหว่างการพิจารณา คำแนะนำฯ,รอการขอยกเลิกคุณลักษณะ"</formula1>
    </dataValidation>
    <dataValidation type="list" allowBlank="1" sqref="Q14 Q18 Q52 Q69 Q79 Q81 Q91 Q96 Q98 Q118:Q119 Q124 Q126:Q127 Q133 Q178 Q181 Q311" xr:uid="{00000000-0002-0000-0900-000009000000}">
      <formula1>"ยังไม่ส่งราคาของแต่ละยี่ห้อ,พร้อม"</formula1>
    </dataValidation>
    <dataValidation type="list" allowBlank="1" sqref="A296" xr:uid="{00000000-0002-0000-0900-00000A000000}">
      <formula1>"รอการขอยกเลิกคุณลักษณะ,รอเข้าพิจารณา คุณลักษณะฯ,อยู่ระหว่างการพิจารณา คุณลักษณะฯ,ผ่านการพิจารณา รอ จก.ชย.ทอ.ลงนาม,รอเข้าพิจารณา คำแนะนำฯ,อยู่ระหว่างการพิจารณา คำแนะนำฯ,ผ่านการพิจารณาคำแนะนำ รอ จก.ชย.ทอ.ลงนาม.,เอกสารไม่พร้อมเข้าพิจารณา"</formula1>
    </dataValidation>
  </dataValidations>
  <printOptions horizontalCentered="1" gridLines="1"/>
  <pageMargins left="0.30439361596856057" right="0.2309192948727011" top="0.36365118008373154" bottom="0.36377952755905513" header="0" footer="0"/>
  <pageSetup paperSize="9" fitToHeight="0" pageOrder="overThenDown" orientation="portrait" cellComments="atEnd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fitToPage="1"/>
  </sheetPr>
  <dimension ref="A1:AA408"/>
  <sheetViews>
    <sheetView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G2" sqref="G2"/>
    </sheetView>
  </sheetViews>
  <sheetFormatPr defaultColWidth="14.42578125" defaultRowHeight="15.75" customHeight="1"/>
  <cols>
    <col min="1" max="1" width="19" hidden="1" customWidth="1"/>
    <col min="2" max="2" width="12" customWidth="1"/>
    <col min="3" max="3" width="10.85546875" customWidth="1"/>
    <col min="4" max="4" width="15.140625" customWidth="1"/>
    <col min="5" max="5" width="6.85546875" customWidth="1"/>
    <col min="6" max="6" width="57.42578125" customWidth="1"/>
    <col min="7" max="7" width="10.5703125" customWidth="1"/>
    <col min="8" max="8" width="10.7109375" customWidth="1"/>
    <col min="9" max="9" width="10.85546875" hidden="1" customWidth="1"/>
    <col min="10" max="10" width="15.5703125" hidden="1" customWidth="1"/>
    <col min="11" max="11" width="12.7109375" hidden="1" customWidth="1"/>
    <col min="12" max="12" width="46.7109375" hidden="1" customWidth="1"/>
    <col min="13" max="13" width="42" hidden="1" customWidth="1"/>
    <col min="14" max="19" width="13.28515625" hidden="1" customWidth="1"/>
    <col min="20" max="21" width="8.5703125" hidden="1" customWidth="1"/>
    <col min="22" max="22" width="10" hidden="1" customWidth="1"/>
    <col min="23" max="23" width="12.5703125" hidden="1" customWidth="1"/>
    <col min="24" max="25" width="10.42578125" hidden="1" customWidth="1"/>
    <col min="26" max="27" width="13.28515625" hidden="1" customWidth="1"/>
  </cols>
  <sheetData>
    <row r="1" spans="1:27" ht="36.75" customHeight="1">
      <c r="A1" s="112" t="s">
        <v>0</v>
      </c>
      <c r="B1" s="112" t="s">
        <v>1</v>
      </c>
      <c r="C1" s="112" t="s">
        <v>2</v>
      </c>
      <c r="D1" s="112" t="s">
        <v>3</v>
      </c>
      <c r="E1" s="112" t="s">
        <v>4</v>
      </c>
      <c r="F1" s="112" t="s">
        <v>5</v>
      </c>
      <c r="G1" s="113" t="s">
        <v>6</v>
      </c>
      <c r="H1" s="113" t="s">
        <v>7</v>
      </c>
      <c r="I1" s="114" t="s">
        <v>6</v>
      </c>
      <c r="J1" s="113" t="s">
        <v>8</v>
      </c>
      <c r="K1" s="115" t="s">
        <v>9</v>
      </c>
      <c r="L1" s="115" t="s">
        <v>10</v>
      </c>
      <c r="M1" s="112" t="s">
        <v>11</v>
      </c>
      <c r="N1" s="116" t="s">
        <v>12</v>
      </c>
      <c r="O1" s="116" t="s">
        <v>13</v>
      </c>
      <c r="P1" s="116" t="s">
        <v>14</v>
      </c>
      <c r="Q1" s="116" t="s">
        <v>15</v>
      </c>
      <c r="R1" s="116" t="s">
        <v>16</v>
      </c>
      <c r="S1" s="116" t="s">
        <v>17</v>
      </c>
      <c r="T1" s="114" t="s">
        <v>18</v>
      </c>
      <c r="U1" s="114" t="s">
        <v>19</v>
      </c>
      <c r="V1" s="114" t="s">
        <v>20</v>
      </c>
      <c r="W1" s="112" t="s">
        <v>20</v>
      </c>
      <c r="X1" s="112" t="s">
        <v>21</v>
      </c>
      <c r="Y1" s="112" t="s">
        <v>22</v>
      </c>
      <c r="Z1" s="112" t="s">
        <v>23</v>
      </c>
      <c r="AA1" s="112"/>
    </row>
    <row r="2" spans="1:27" ht="18.75">
      <c r="A2" s="117"/>
      <c r="B2" s="118">
        <v>2300</v>
      </c>
      <c r="C2" s="117"/>
      <c r="D2" s="117" t="str">
        <f>"พัสดุ"&amp; VLOOKUP(V2,'เลขSpec.2 ตัวแรก'!$A$2:$B408,2,FALSE)&amp; " จำนวน "&amp;W2&amp;" รายการ"</f>
        <v>พัสดุหมวด 23 ยานยนต์ รถพ่วงและจักรยาน จำนวน 15 รายการ</v>
      </c>
      <c r="E2" s="117"/>
      <c r="F2" s="117"/>
      <c r="G2" s="117"/>
      <c r="H2" s="119"/>
      <c r="I2" s="118"/>
      <c r="J2" s="118"/>
      <c r="K2" s="117"/>
      <c r="L2" s="117"/>
      <c r="M2" s="117"/>
      <c r="N2" s="120"/>
      <c r="O2" s="117"/>
      <c r="P2" s="117"/>
      <c r="Q2" s="117"/>
      <c r="R2" s="117"/>
      <c r="S2" s="117"/>
      <c r="T2" s="119"/>
      <c r="U2" s="118"/>
      <c r="V2" s="118" t="str">
        <f>LEFT(B2, SEARCH("",B2,2))</f>
        <v>23</v>
      </c>
      <c r="W2" s="117">
        <f>COUNTIF($V$2:$V$286,V2)-1</f>
        <v>15</v>
      </c>
      <c r="X2" s="117"/>
      <c r="Y2" s="117"/>
      <c r="Z2" s="117"/>
      <c r="AA2" s="117"/>
    </row>
    <row r="3" spans="1:27" ht="18.75">
      <c r="A3" s="88"/>
      <c r="B3" s="121">
        <v>2320</v>
      </c>
      <c r="C3" s="121" t="s">
        <v>37</v>
      </c>
      <c r="D3" s="88" t="s">
        <v>38</v>
      </c>
      <c r="E3" s="121">
        <v>59</v>
      </c>
      <c r="F3" s="46" t="s">
        <v>56</v>
      </c>
      <c r="G3" s="26" t="s">
        <v>28</v>
      </c>
      <c r="H3" s="122">
        <v>3900000</v>
      </c>
      <c r="I3" s="123"/>
      <c r="J3" s="124"/>
      <c r="K3" s="125"/>
      <c r="L3" s="125"/>
      <c r="M3" s="46"/>
      <c r="N3" s="126"/>
      <c r="O3" s="126"/>
      <c r="P3" s="126"/>
      <c r="Q3" s="126"/>
      <c r="R3" s="126"/>
      <c r="S3" s="126"/>
      <c r="T3" s="128"/>
      <c r="U3" s="128">
        <f>E3+T3-2+2500</f>
        <v>2557</v>
      </c>
      <c r="V3" s="129" t="str">
        <f>LEFT(B3, SEARCH("",B3,2))</f>
        <v>23</v>
      </c>
      <c r="W3" s="121">
        <f>COUNTIF($V$4:$V$286,V3)-1</f>
        <v>13</v>
      </c>
      <c r="X3" s="121"/>
      <c r="Y3" s="121"/>
      <c r="Z3" s="121"/>
      <c r="AA3" s="121"/>
    </row>
    <row r="4" spans="1:27" ht="18.75">
      <c r="A4" s="88"/>
      <c r="B4" s="121">
        <v>2320</v>
      </c>
      <c r="C4" s="121" t="s">
        <v>37</v>
      </c>
      <c r="D4" s="88" t="s">
        <v>54</v>
      </c>
      <c r="E4" s="121">
        <v>60</v>
      </c>
      <c r="F4" s="46" t="s">
        <v>55</v>
      </c>
      <c r="G4" s="26" t="s">
        <v>28</v>
      </c>
      <c r="H4" s="122">
        <v>8100000</v>
      </c>
      <c r="I4" s="123"/>
      <c r="J4" s="130" t="str">
        <f>HYPERLINK("https://drive.google.com/open?id=0B2vBTVEfSzItZzBYV2cyTGtJLTA","2320")</f>
        <v>2320</v>
      </c>
      <c r="K4" s="125"/>
      <c r="L4" s="125"/>
      <c r="M4" s="46"/>
      <c r="N4" s="126"/>
      <c r="O4" s="126"/>
      <c r="P4" s="126"/>
      <c r="Q4" s="126"/>
      <c r="R4" s="126"/>
      <c r="S4" s="126"/>
      <c r="T4" s="128"/>
      <c r="U4" s="128">
        <f>E4+T4-2+2500</f>
        <v>2558</v>
      </c>
      <c r="V4" s="129" t="str">
        <f>LEFT(B4, SEARCH("",B4,2))</f>
        <v>23</v>
      </c>
      <c r="W4" s="121">
        <f>COUNTIF($V$4:$V$286,V4)-1</f>
        <v>13</v>
      </c>
      <c r="X4" s="121"/>
      <c r="Y4" s="121"/>
      <c r="Z4" s="121"/>
      <c r="AA4" s="121"/>
    </row>
    <row r="5" spans="1:27" ht="18.75">
      <c r="A5" s="88"/>
      <c r="B5" s="121">
        <v>2320</v>
      </c>
      <c r="C5" s="121" t="s">
        <v>37</v>
      </c>
      <c r="D5" s="88" t="s">
        <v>59</v>
      </c>
      <c r="E5" s="121">
        <v>59</v>
      </c>
      <c r="F5" s="46" t="s">
        <v>60</v>
      </c>
      <c r="G5" s="26" t="s">
        <v>28</v>
      </c>
      <c r="H5" s="122">
        <v>3210000</v>
      </c>
      <c r="I5" s="123"/>
      <c r="J5" s="130" t="str">
        <f>HYPERLINK("https://drive.google.com/open?id=0B2vBTVEfSzItVDBzc3RwZ2F5SGM","2320")</f>
        <v>2320</v>
      </c>
      <c r="K5" s="125"/>
      <c r="L5" s="125"/>
      <c r="M5" s="46"/>
      <c r="N5" s="126"/>
      <c r="O5" s="126"/>
      <c r="P5" s="126"/>
      <c r="Q5" s="126"/>
      <c r="R5" s="126"/>
      <c r="S5" s="126"/>
      <c r="T5" s="128"/>
      <c r="U5" s="128">
        <f>E5+T5-2+2500</f>
        <v>2557</v>
      </c>
      <c r="V5" s="129" t="str">
        <f>LEFT(B5, SEARCH("",B5,2))</f>
        <v>23</v>
      </c>
      <c r="W5" s="121">
        <f>COUNTIF($V$4:$V$286,V5)-1</f>
        <v>13</v>
      </c>
      <c r="X5" s="121"/>
      <c r="Y5" s="121"/>
      <c r="Z5" s="121"/>
      <c r="AA5" s="121"/>
    </row>
    <row r="6" spans="1:27" ht="18.75">
      <c r="A6" s="88"/>
      <c r="B6" s="121">
        <v>2320</v>
      </c>
      <c r="C6" s="121" t="s">
        <v>63</v>
      </c>
      <c r="D6" s="121" t="s">
        <v>64</v>
      </c>
      <c r="E6" s="121">
        <v>62</v>
      </c>
      <c r="F6" s="46" t="s">
        <v>69</v>
      </c>
      <c r="G6" s="26" t="s">
        <v>28</v>
      </c>
      <c r="H6" s="122">
        <v>2100000</v>
      </c>
      <c r="I6" s="123"/>
      <c r="J6" s="131" t="str">
        <f>HYPERLINK("https://drive.google.com/open?id=1oMKRFMH71WdjXDMeBa5XwWkGBcXYuTSH","2320")</f>
        <v>2320</v>
      </c>
      <c r="K6" s="125"/>
      <c r="L6" s="125"/>
      <c r="M6" s="46"/>
      <c r="N6" s="126"/>
      <c r="O6" s="126"/>
      <c r="P6" s="126"/>
      <c r="Q6" s="126"/>
      <c r="R6" s="126"/>
      <c r="S6" s="126"/>
      <c r="T6" s="128"/>
      <c r="U6" s="128"/>
      <c r="V6" s="129"/>
      <c r="W6" s="121"/>
      <c r="X6" s="121"/>
      <c r="Y6" s="121"/>
      <c r="Z6" s="121"/>
      <c r="AA6" s="121"/>
    </row>
    <row r="7" spans="1:27" ht="18.75">
      <c r="A7" s="88"/>
      <c r="B7" s="121">
        <v>2320</v>
      </c>
      <c r="C7" s="121" t="s">
        <v>63</v>
      </c>
      <c r="D7" s="121" t="s">
        <v>81</v>
      </c>
      <c r="E7" s="121">
        <v>61</v>
      </c>
      <c r="F7" s="46" t="s">
        <v>82</v>
      </c>
      <c r="G7" s="26" t="s">
        <v>28</v>
      </c>
      <c r="H7" s="122">
        <v>12000000</v>
      </c>
      <c r="I7" s="123"/>
      <c r="J7" s="130" t="str">
        <f>HYPERLINK("https://drive.google.com/open?id=1tbmxLDs2XdlTjG_MbgoWNjMI-uWEYO6s","2320")</f>
        <v>2320</v>
      </c>
      <c r="K7" s="125"/>
      <c r="L7" s="125"/>
      <c r="M7" s="46"/>
      <c r="N7" s="126"/>
      <c r="O7" s="126"/>
      <c r="P7" s="126"/>
      <c r="Q7" s="126"/>
      <c r="R7" s="126"/>
      <c r="S7" s="126"/>
      <c r="T7" s="128"/>
      <c r="U7" s="128"/>
      <c r="V7" s="129" t="str">
        <f t="shared" ref="V7:V13" si="0">LEFT(B7, SEARCH("",B7,2))</f>
        <v>23</v>
      </c>
      <c r="W7" s="121">
        <f t="shared" ref="W7:W13" si="1">COUNTIF($V$4:$V$286,V7)-1</f>
        <v>13</v>
      </c>
      <c r="X7" s="121"/>
      <c r="Y7" s="121"/>
      <c r="Z7" s="121"/>
      <c r="AA7" s="121"/>
    </row>
    <row r="8" spans="1:27" ht="37.5">
      <c r="A8" s="88"/>
      <c r="B8" s="121">
        <v>2320</v>
      </c>
      <c r="C8" s="121" t="s">
        <v>63</v>
      </c>
      <c r="D8" s="88" t="s">
        <v>89</v>
      </c>
      <c r="E8" s="121">
        <v>56</v>
      </c>
      <c r="F8" s="46" t="s">
        <v>90</v>
      </c>
      <c r="G8" s="26" t="s">
        <v>28</v>
      </c>
      <c r="H8" s="122">
        <v>2800000</v>
      </c>
      <c r="I8" s="123"/>
      <c r="J8" s="130" t="str">
        <f>HYPERLINK("https://drive.google.com/open?id=0B2rLR4BADrBtN1BLSnNrSHR1SUE","2320")</f>
        <v>2320</v>
      </c>
      <c r="K8" s="125"/>
      <c r="L8" s="125"/>
      <c r="M8" s="46"/>
      <c r="N8" s="126"/>
      <c r="O8" s="126"/>
      <c r="P8" s="126"/>
      <c r="Q8" s="126"/>
      <c r="R8" s="126"/>
      <c r="S8" s="126"/>
      <c r="T8" s="128">
        <v>20</v>
      </c>
      <c r="U8" s="128">
        <f t="shared" ref="U8:U13" si="2">E8+T8-2+2500</f>
        <v>2574</v>
      </c>
      <c r="V8" s="129" t="str">
        <f t="shared" si="0"/>
        <v>23</v>
      </c>
      <c r="W8" s="121">
        <f t="shared" si="1"/>
        <v>13</v>
      </c>
      <c r="X8" s="121"/>
      <c r="Y8" s="121"/>
      <c r="Z8" s="121"/>
      <c r="AA8" s="121"/>
    </row>
    <row r="9" spans="1:27" ht="37.5">
      <c r="A9" s="88"/>
      <c r="B9" s="121">
        <v>2320</v>
      </c>
      <c r="C9" s="121" t="s">
        <v>63</v>
      </c>
      <c r="D9" s="88" t="s">
        <v>95</v>
      </c>
      <c r="E9" s="121">
        <v>56</v>
      </c>
      <c r="F9" s="46" t="s">
        <v>96</v>
      </c>
      <c r="G9" s="26" t="s">
        <v>28</v>
      </c>
      <c r="H9" s="122">
        <v>2900000</v>
      </c>
      <c r="I9" s="123"/>
      <c r="J9" s="130" t="str">
        <f>HYPERLINK("https://drive.google.com/open?id=0B2rLR4BADrBtallTanYxUTQ0eXc","2320")</f>
        <v>2320</v>
      </c>
      <c r="K9" s="125"/>
      <c r="L9" s="125"/>
      <c r="M9" s="46"/>
      <c r="N9" s="126"/>
      <c r="O9" s="126"/>
      <c r="P9" s="126"/>
      <c r="Q9" s="126"/>
      <c r="R9" s="126"/>
      <c r="S9" s="126"/>
      <c r="T9" s="128">
        <v>20</v>
      </c>
      <c r="U9" s="128">
        <f t="shared" si="2"/>
        <v>2574</v>
      </c>
      <c r="V9" s="129" t="str">
        <f t="shared" si="0"/>
        <v>23</v>
      </c>
      <c r="W9" s="121">
        <f t="shared" si="1"/>
        <v>13</v>
      </c>
      <c r="X9" s="121"/>
      <c r="Y9" s="121"/>
      <c r="Z9" s="121"/>
      <c r="AA9" s="121"/>
    </row>
    <row r="10" spans="1:27" ht="18.75">
      <c r="A10" s="88"/>
      <c r="B10" s="121">
        <v>2320</v>
      </c>
      <c r="C10" s="121" t="s">
        <v>63</v>
      </c>
      <c r="D10" s="88" t="s">
        <v>99</v>
      </c>
      <c r="E10" s="121">
        <v>56</v>
      </c>
      <c r="F10" s="46" t="s">
        <v>100</v>
      </c>
      <c r="G10" s="26" t="s">
        <v>28</v>
      </c>
      <c r="H10" s="122">
        <v>6500000</v>
      </c>
      <c r="I10" s="123"/>
      <c r="J10" s="130" t="str">
        <f>HYPERLINK("https://drive.google.com/open?id=0B2rLR4BADrBtbmVab1pNaDZHcFU","2320")</f>
        <v>2320</v>
      </c>
      <c r="K10" s="125"/>
      <c r="L10" s="125"/>
      <c r="M10" s="46"/>
      <c r="N10" s="126"/>
      <c r="O10" s="126"/>
      <c r="P10" s="126"/>
      <c r="Q10" s="126"/>
      <c r="R10" s="126"/>
      <c r="S10" s="126"/>
      <c r="T10" s="128">
        <v>20</v>
      </c>
      <c r="U10" s="128">
        <f t="shared" si="2"/>
        <v>2574</v>
      </c>
      <c r="V10" s="129" t="str">
        <f t="shared" si="0"/>
        <v>23</v>
      </c>
      <c r="W10" s="121">
        <f t="shared" si="1"/>
        <v>13</v>
      </c>
      <c r="X10" s="121"/>
      <c r="Y10" s="121"/>
      <c r="Z10" s="121"/>
      <c r="AA10" s="121"/>
    </row>
    <row r="11" spans="1:27" ht="18.75">
      <c r="A11" s="88"/>
      <c r="B11" s="121">
        <v>2320</v>
      </c>
      <c r="C11" s="121" t="s">
        <v>63</v>
      </c>
      <c r="D11" s="88" t="s">
        <v>105</v>
      </c>
      <c r="E11" s="121">
        <v>58</v>
      </c>
      <c r="F11" s="46" t="s">
        <v>106</v>
      </c>
      <c r="G11" s="26" t="s">
        <v>28</v>
      </c>
      <c r="H11" s="122">
        <v>4800000</v>
      </c>
      <c r="I11" s="123"/>
      <c r="J11" s="130" t="str">
        <f>HYPERLINK("https://drive.google.com/open?id=0B2vBTVEfSzItN0l1dkZGekVwNmM","2320")</f>
        <v>2320</v>
      </c>
      <c r="K11" s="125"/>
      <c r="L11" s="125"/>
      <c r="M11" s="46"/>
      <c r="N11" s="126"/>
      <c r="O11" s="126"/>
      <c r="P11" s="126"/>
      <c r="Q11" s="126"/>
      <c r="R11" s="126"/>
      <c r="S11" s="126"/>
      <c r="T11" s="128">
        <v>20</v>
      </c>
      <c r="U11" s="128">
        <f t="shared" si="2"/>
        <v>2576</v>
      </c>
      <c r="V11" s="129" t="str">
        <f t="shared" si="0"/>
        <v>23</v>
      </c>
      <c r="W11" s="121">
        <f t="shared" si="1"/>
        <v>13</v>
      </c>
      <c r="X11" s="121"/>
      <c r="Y11" s="121"/>
      <c r="Z11" s="121"/>
      <c r="AA11" s="121"/>
    </row>
    <row r="12" spans="1:27" ht="18.75">
      <c r="A12" s="88"/>
      <c r="B12" s="121">
        <v>2320</v>
      </c>
      <c r="C12" s="121" t="s">
        <v>63</v>
      </c>
      <c r="D12" s="121" t="s">
        <v>109</v>
      </c>
      <c r="E12" s="121">
        <v>54</v>
      </c>
      <c r="F12" s="46" t="s">
        <v>110</v>
      </c>
      <c r="G12" s="26" t="s">
        <v>28</v>
      </c>
      <c r="H12" s="122">
        <v>1100000</v>
      </c>
      <c r="I12" s="123"/>
      <c r="J12" s="130" t="str">
        <f>HYPERLINK("https://drive.google.com/open?id=1d-colTudNLeYNW53-LZTFcfJ5Hj_cb1k","2320")</f>
        <v>2320</v>
      </c>
      <c r="K12" s="125"/>
      <c r="L12" s="125"/>
      <c r="M12" s="46"/>
      <c r="N12" s="126"/>
      <c r="O12" s="126"/>
      <c r="P12" s="126"/>
      <c r="Q12" s="126"/>
      <c r="R12" s="126"/>
      <c r="S12" s="126"/>
      <c r="T12" s="128">
        <v>20</v>
      </c>
      <c r="U12" s="128">
        <f t="shared" si="2"/>
        <v>2572</v>
      </c>
      <c r="V12" s="129" t="str">
        <f t="shared" si="0"/>
        <v>23</v>
      </c>
      <c r="W12" s="121">
        <f t="shared" si="1"/>
        <v>13</v>
      </c>
      <c r="X12" s="121"/>
      <c r="Y12" s="121"/>
      <c r="Z12" s="121"/>
      <c r="AA12" s="121"/>
    </row>
    <row r="13" spans="1:27" ht="18.75">
      <c r="A13" s="88"/>
      <c r="B13" s="121">
        <v>2320</v>
      </c>
      <c r="C13" s="121" t="s">
        <v>63</v>
      </c>
      <c r="D13" s="88" t="s">
        <v>115</v>
      </c>
      <c r="E13" s="121">
        <v>58</v>
      </c>
      <c r="F13" s="46" t="s">
        <v>116</v>
      </c>
      <c r="G13" s="26" t="s">
        <v>28</v>
      </c>
      <c r="H13" s="122">
        <v>1980000</v>
      </c>
      <c r="I13" s="123"/>
      <c r="J13" s="130" t="str">
        <f>HYPERLINK("https://drive.google.com/open?id=0B2vBTVEfSzItQnlzZ2dwSVU3Nm8","2320")</f>
        <v>2320</v>
      </c>
      <c r="K13" s="125"/>
      <c r="L13" s="125"/>
      <c r="M13" s="46"/>
      <c r="N13" s="126"/>
      <c r="O13" s="126"/>
      <c r="P13" s="126"/>
      <c r="Q13" s="126"/>
      <c r="R13" s="126"/>
      <c r="S13" s="126"/>
      <c r="T13" s="128">
        <v>20</v>
      </c>
      <c r="U13" s="128">
        <f t="shared" si="2"/>
        <v>2576</v>
      </c>
      <c r="V13" s="129" t="str">
        <f t="shared" si="0"/>
        <v>23</v>
      </c>
      <c r="W13" s="121">
        <f t="shared" si="1"/>
        <v>13</v>
      </c>
      <c r="X13" s="121"/>
      <c r="Y13" s="121"/>
      <c r="Z13" s="121"/>
      <c r="AA13" s="121"/>
    </row>
    <row r="14" spans="1:27" ht="18.75">
      <c r="A14" s="88"/>
      <c r="B14" s="121">
        <v>2320</v>
      </c>
      <c r="C14" s="121" t="s">
        <v>63</v>
      </c>
      <c r="D14" s="121" t="s">
        <v>119</v>
      </c>
      <c r="E14" s="121">
        <v>62</v>
      </c>
      <c r="F14" s="46" t="s">
        <v>120</v>
      </c>
      <c r="G14" s="26" t="s">
        <v>28</v>
      </c>
      <c r="H14" s="122">
        <v>950000</v>
      </c>
      <c r="I14" s="123"/>
      <c r="J14" s="130" t="str">
        <f>HYPERLINK("https://drive.google.com/open?id=1zhu8FHz5kc6dijTB33dmeY5tfh77gOUh","2320")</f>
        <v>2320</v>
      </c>
      <c r="K14" s="125"/>
      <c r="L14" s="125"/>
      <c r="M14" s="46"/>
      <c r="N14" s="126"/>
      <c r="O14" s="126"/>
      <c r="P14" s="126"/>
      <c r="Q14" s="126"/>
      <c r="R14" s="126"/>
      <c r="S14" s="126"/>
      <c r="T14" s="128"/>
      <c r="U14" s="128"/>
      <c r="V14" s="129"/>
      <c r="W14" s="121"/>
      <c r="X14" s="121"/>
      <c r="Y14" s="121"/>
      <c r="Z14" s="121"/>
      <c r="AA14" s="121"/>
    </row>
    <row r="15" spans="1:27" ht="18.75">
      <c r="A15" s="88"/>
      <c r="B15" s="121">
        <v>2320</v>
      </c>
      <c r="C15" s="121" t="s">
        <v>63</v>
      </c>
      <c r="D15" s="88" t="s">
        <v>125</v>
      </c>
      <c r="E15" s="121">
        <v>58</v>
      </c>
      <c r="F15" s="46" t="s">
        <v>126</v>
      </c>
      <c r="G15" s="26" t="s">
        <v>28</v>
      </c>
      <c r="H15" s="122">
        <v>2400000</v>
      </c>
      <c r="I15" s="123"/>
      <c r="J15" s="130" t="str">
        <f>HYPERLINK("https://drive.google.com/open?id=0B2vBTVEfSzItY3VaX1RxM1BGY00","2320")</f>
        <v>2320</v>
      </c>
      <c r="K15" s="125"/>
      <c r="L15" s="125"/>
      <c r="M15" s="46"/>
      <c r="N15" s="126"/>
      <c r="O15" s="126"/>
      <c r="P15" s="126"/>
      <c r="Q15" s="126"/>
      <c r="R15" s="126"/>
      <c r="S15" s="126"/>
      <c r="T15" s="128">
        <v>10</v>
      </c>
      <c r="U15" s="128">
        <f>E15+T15-2+2500</f>
        <v>2566</v>
      </c>
      <c r="V15" s="129" t="str">
        <f>LEFT(B15, SEARCH("",B15,2))</f>
        <v>23</v>
      </c>
      <c r="W15" s="121">
        <f>COUNTIF($V$4:$V$286,V15)-1</f>
        <v>13</v>
      </c>
      <c r="X15" s="121"/>
      <c r="Y15" s="121"/>
      <c r="Z15" s="121"/>
      <c r="AA15" s="121"/>
    </row>
    <row r="16" spans="1:27" ht="18.75">
      <c r="A16" s="88"/>
      <c r="B16" s="121">
        <v>2320</v>
      </c>
      <c r="C16" s="121" t="s">
        <v>63</v>
      </c>
      <c r="D16" s="121" t="s">
        <v>131</v>
      </c>
      <c r="E16" s="121">
        <v>55</v>
      </c>
      <c r="F16" s="46" t="s">
        <v>132</v>
      </c>
      <c r="G16" s="26" t="s">
        <v>28</v>
      </c>
      <c r="H16" s="122">
        <v>2100000</v>
      </c>
      <c r="I16" s="123"/>
      <c r="J16" s="130" t="str">
        <f>HYPERLINK("https://drive.google.com/open?id=0B2rLR4BADrBtOF9UVGxqYzNqUUU","2320")</f>
        <v>2320</v>
      </c>
      <c r="K16" s="125"/>
      <c r="L16" s="125"/>
      <c r="M16" s="46"/>
      <c r="N16" s="126"/>
      <c r="O16" s="126"/>
      <c r="P16" s="126"/>
      <c r="Q16" s="126"/>
      <c r="R16" s="126"/>
      <c r="S16" s="126"/>
      <c r="T16" s="128">
        <v>20</v>
      </c>
      <c r="U16" s="128">
        <f>E16+T16-2+2500</f>
        <v>2573</v>
      </c>
      <c r="V16" s="129" t="str">
        <f>LEFT(B16, SEARCH("",B16,2))</f>
        <v>23</v>
      </c>
      <c r="W16" s="121">
        <f>COUNTIF($V$4:$V$286,V16)-1</f>
        <v>13</v>
      </c>
      <c r="X16" s="121"/>
      <c r="Y16" s="121"/>
      <c r="Z16" s="121"/>
      <c r="AA16" s="121"/>
    </row>
    <row r="17" spans="1:27" ht="18.75">
      <c r="A17" s="88"/>
      <c r="B17" s="121">
        <v>2320</v>
      </c>
      <c r="C17" s="121" t="s">
        <v>63</v>
      </c>
      <c r="D17" s="88" t="s">
        <v>135</v>
      </c>
      <c r="E17" s="121">
        <v>57</v>
      </c>
      <c r="F17" s="46" t="s">
        <v>136</v>
      </c>
      <c r="G17" s="26" t="s">
        <v>28</v>
      </c>
      <c r="H17" s="122">
        <v>982000</v>
      </c>
      <c r="I17" s="123"/>
      <c r="J17" s="130" t="str">
        <f>HYPERLINK("https://drive.google.com/open?id=0B2rLR4BADrBtcnlUNnJwd2Rua3c","2320")</f>
        <v>2320</v>
      </c>
      <c r="K17" s="125"/>
      <c r="L17" s="125"/>
      <c r="M17" s="46"/>
      <c r="N17" s="126"/>
      <c r="O17" s="126"/>
      <c r="P17" s="126"/>
      <c r="Q17" s="126"/>
      <c r="R17" s="126"/>
      <c r="S17" s="126"/>
      <c r="T17" s="128">
        <v>20</v>
      </c>
      <c r="U17" s="128">
        <f>E17+T17-2+2500</f>
        <v>2575</v>
      </c>
      <c r="V17" s="129" t="str">
        <f>LEFT(B17, SEARCH("",B17,2))</f>
        <v>23</v>
      </c>
      <c r="W17" s="121">
        <f>COUNTIF('สำเนาของ 52-62 (สำหรับ จก.ตรวจเ'!$V$4:$V$286,V17)-1</f>
        <v>13</v>
      </c>
      <c r="X17" s="121"/>
      <c r="Y17" s="121"/>
      <c r="Z17" s="121"/>
      <c r="AA17" s="121"/>
    </row>
    <row r="18" spans="1:27" ht="18.75">
      <c r="A18" s="88"/>
      <c r="B18" s="121">
        <v>2320</v>
      </c>
      <c r="C18" s="121" t="s">
        <v>63</v>
      </c>
      <c r="D18" s="121" t="s">
        <v>144</v>
      </c>
      <c r="E18" s="121">
        <v>62</v>
      </c>
      <c r="F18" s="46" t="s">
        <v>145</v>
      </c>
      <c r="G18" s="26" t="s">
        <v>28</v>
      </c>
      <c r="H18" s="122">
        <v>950000</v>
      </c>
      <c r="I18" s="123"/>
      <c r="J18" s="130" t="str">
        <f>HYPERLINK("https://drive.google.com/open?id=1c9ROm4HUcAc15S4MXmpkFN2sBo4k3rwu","2320")</f>
        <v>2320</v>
      </c>
      <c r="K18" s="125"/>
      <c r="L18" s="125"/>
      <c r="M18" s="46"/>
      <c r="N18" s="126"/>
      <c r="O18" s="126"/>
      <c r="P18" s="126"/>
      <c r="Q18" s="126"/>
      <c r="R18" s="126"/>
      <c r="S18" s="126"/>
      <c r="T18" s="128"/>
      <c r="U18" s="128"/>
      <c r="V18" s="129"/>
      <c r="W18" s="121"/>
      <c r="X18" s="121"/>
      <c r="Y18" s="121"/>
      <c r="Z18" s="121"/>
      <c r="AA18" s="121"/>
    </row>
    <row r="19" spans="1:27" ht="18.75">
      <c r="A19" s="88"/>
      <c r="B19" s="121">
        <v>2320</v>
      </c>
      <c r="C19" s="121" t="s">
        <v>63</v>
      </c>
      <c r="D19" s="88" t="s">
        <v>153</v>
      </c>
      <c r="E19" s="121">
        <v>56</v>
      </c>
      <c r="F19" s="46" t="s">
        <v>154</v>
      </c>
      <c r="G19" s="26" t="s">
        <v>28</v>
      </c>
      <c r="H19" s="122">
        <v>70000000</v>
      </c>
      <c r="I19" s="123"/>
      <c r="J19" s="130" t="str">
        <f>HYPERLINK("https://drive.google.com/open?id=0B2rLR4BADrBtSTVSam9qQ1QwNlE","2320")</f>
        <v>2320</v>
      </c>
      <c r="K19" s="125"/>
      <c r="L19" s="125"/>
      <c r="M19" s="46"/>
      <c r="N19" s="126"/>
      <c r="O19" s="126"/>
      <c r="P19" s="126"/>
      <c r="Q19" s="126"/>
      <c r="R19" s="126"/>
      <c r="S19" s="126"/>
      <c r="T19" s="128">
        <v>20</v>
      </c>
      <c r="U19" s="128">
        <f>E19+T19-2+2500</f>
        <v>2574</v>
      </c>
      <c r="V19" s="129" t="str">
        <f t="shared" ref="V19:V31" si="3">LEFT(B19, SEARCH("",B19,2))</f>
        <v>23</v>
      </c>
      <c r="W19" s="121">
        <f>COUNTIF('สำเนาของ 52-62 (สำหรับ จก.ตรวจเ'!$V$4:$V$286,V19)-1</f>
        <v>13</v>
      </c>
      <c r="X19" s="121"/>
      <c r="Y19" s="121"/>
      <c r="Z19" s="121"/>
      <c r="AA19" s="121"/>
    </row>
    <row r="20" spans="1:27" ht="18.75">
      <c r="A20" s="88"/>
      <c r="B20" s="121">
        <v>2320</v>
      </c>
      <c r="C20" s="121" t="s">
        <v>63</v>
      </c>
      <c r="D20" s="88" t="s">
        <v>162</v>
      </c>
      <c r="E20" s="121">
        <v>56</v>
      </c>
      <c r="F20" s="46" t="s">
        <v>163</v>
      </c>
      <c r="G20" s="26" t="s">
        <v>28</v>
      </c>
      <c r="H20" s="122">
        <v>45000000</v>
      </c>
      <c r="I20" s="123"/>
      <c r="J20" s="130" t="str">
        <f>HYPERLINK("https://drive.google.com/open?id=0B2rLR4BADrBtR1JUbUVIbHBQdE0","2320")</f>
        <v>2320</v>
      </c>
      <c r="K20" s="125"/>
      <c r="L20" s="125"/>
      <c r="M20" s="46"/>
      <c r="N20" s="126"/>
      <c r="O20" s="126"/>
      <c r="P20" s="126"/>
      <c r="Q20" s="126"/>
      <c r="R20" s="126"/>
      <c r="S20" s="126"/>
      <c r="T20" s="128">
        <v>20</v>
      </c>
      <c r="U20" s="128">
        <f>E20+T20-2+2500</f>
        <v>2574</v>
      </c>
      <c r="V20" s="129" t="str">
        <f t="shared" si="3"/>
        <v>23</v>
      </c>
      <c r="W20" s="121">
        <f>COUNTIF('สำเนาของ 52-62 (สำหรับ จก.ตรวจเ'!$V$4:$V$286,V20)-1</f>
        <v>13</v>
      </c>
      <c r="X20" s="121"/>
      <c r="Y20" s="121"/>
      <c r="Z20" s="121"/>
      <c r="AA20" s="121"/>
    </row>
    <row r="21" spans="1:27" ht="18.75">
      <c r="A21" s="117"/>
      <c r="B21" s="117">
        <v>2400</v>
      </c>
      <c r="C21" s="120"/>
      <c r="D21" s="117" t="str">
        <f>"พัสดุ"&amp; VLOOKUP(V21,'เลขSpec.2 ตัวแรก'!$A$2:$B$100,2,FALSE)&amp; " จำนวน "&amp;W21&amp;" รายการ"</f>
        <v>พัสดุหมวด 24 รถแทรกเตอร์ จำนวน 2 รายการ</v>
      </c>
      <c r="E21" s="117"/>
      <c r="F21" s="117"/>
      <c r="G21" s="117"/>
      <c r="H21" s="117"/>
      <c r="I21" s="119"/>
      <c r="J21" s="118"/>
      <c r="K21" s="118"/>
      <c r="L21" s="117"/>
      <c r="M21" s="117"/>
      <c r="N21" s="117"/>
      <c r="O21" s="120"/>
      <c r="P21" s="117"/>
      <c r="Q21" s="117"/>
      <c r="R21" s="117"/>
      <c r="S21" s="117"/>
      <c r="T21" s="117"/>
      <c r="U21" s="119"/>
      <c r="V21" s="118" t="str">
        <f t="shared" si="3"/>
        <v>24</v>
      </c>
      <c r="W21" s="118">
        <f>COUNTIF($V$2:$V$286,V21)-1</f>
        <v>2</v>
      </c>
      <c r="X21" s="117"/>
      <c r="Y21" s="24"/>
      <c r="Z21" s="24"/>
      <c r="AA21" s="24"/>
    </row>
    <row r="22" spans="1:27" ht="18.75">
      <c r="A22" s="88"/>
      <c r="B22" s="121">
        <v>2420</v>
      </c>
      <c r="C22" s="121" t="s">
        <v>63</v>
      </c>
      <c r="D22" s="88" t="s">
        <v>172</v>
      </c>
      <c r="E22" s="121">
        <v>56</v>
      </c>
      <c r="F22" s="46" t="s">
        <v>173</v>
      </c>
      <c r="G22" s="26" t="s">
        <v>28</v>
      </c>
      <c r="H22" s="122">
        <v>740000</v>
      </c>
      <c r="I22" s="123"/>
      <c r="J22" s="130" t="str">
        <f>HYPERLINK("https://drive.google.com/open?id=0B2rLR4BADrBtT3gwb3hYWjY3Qzg","2420")</f>
        <v>2420</v>
      </c>
      <c r="K22" s="132" t="str">
        <f>HYPERLINK("https://drive.google.com/drive/folders/0BwQ57SNHxB3BUjRvc3dBRVM3WUk","2420")</f>
        <v>2420</v>
      </c>
      <c r="L22" s="125"/>
      <c r="M22" s="46"/>
      <c r="N22" s="126"/>
      <c r="O22" s="126"/>
      <c r="P22" s="126"/>
      <c r="Q22" s="126"/>
      <c r="R22" s="126"/>
      <c r="S22" s="126"/>
      <c r="T22" s="128">
        <v>20</v>
      </c>
      <c r="U22" s="128">
        <f>E22+T22-2+2500</f>
        <v>2574</v>
      </c>
      <c r="V22" s="129" t="str">
        <f t="shared" si="3"/>
        <v>24</v>
      </c>
      <c r="W22" s="121">
        <f>COUNTIF($V$4:$V$286,V22)-1</f>
        <v>2</v>
      </c>
      <c r="X22" s="121"/>
      <c r="Y22" s="121"/>
      <c r="Z22" s="121"/>
      <c r="AA22" s="121"/>
    </row>
    <row r="23" spans="1:27" ht="37.5">
      <c r="A23" s="88"/>
      <c r="B23" s="121">
        <v>2420</v>
      </c>
      <c r="C23" s="121" t="s">
        <v>63</v>
      </c>
      <c r="D23" s="88" t="s">
        <v>181</v>
      </c>
      <c r="E23" s="121">
        <v>58</v>
      </c>
      <c r="F23" s="46" t="s">
        <v>182</v>
      </c>
      <c r="G23" s="26" t="s">
        <v>28</v>
      </c>
      <c r="H23" s="122">
        <v>1400000</v>
      </c>
      <c r="I23" s="123"/>
      <c r="J23" s="130" t="str">
        <f>HYPERLINK("https://drive.google.com/open?id=0B2rLR4BADrBtTFd4NHpveWVRejQ","2420")</f>
        <v>2420</v>
      </c>
      <c r="K23" s="125"/>
      <c r="L23" s="125"/>
      <c r="M23" s="46"/>
      <c r="N23" s="126"/>
      <c r="O23" s="126"/>
      <c r="P23" s="126"/>
      <c r="Q23" s="126"/>
      <c r="R23" s="126"/>
      <c r="S23" s="126"/>
      <c r="T23" s="128">
        <v>20</v>
      </c>
      <c r="U23" s="128">
        <f>E23+T23-2+2500</f>
        <v>2576</v>
      </c>
      <c r="V23" s="129" t="str">
        <f t="shared" si="3"/>
        <v>24</v>
      </c>
      <c r="W23" s="121">
        <f>COUNTIF($V$4:$V$286,V23)-1</f>
        <v>2</v>
      </c>
      <c r="X23" s="121"/>
      <c r="Y23" s="121"/>
      <c r="Z23" s="121"/>
      <c r="AA23" s="121"/>
    </row>
    <row r="24" spans="1:27" ht="18.75">
      <c r="A24" s="117"/>
      <c r="B24" s="117">
        <v>2700</v>
      </c>
      <c r="C24" s="117"/>
      <c r="D24" s="120" t="str">
        <f>"พัสดุ"&amp; VLOOKUP(V24,'เลขSpec.2 ตัวแรก'!$A$2:$B$100,2,FALSE)&amp; " จำนวน "&amp;W24&amp;" รายการ"</f>
        <v>พัสดุหมวด 27 (ยังไม่กำหนด) จำนวน 0 รายการ</v>
      </c>
      <c r="E24" s="117"/>
      <c r="F24" s="117"/>
      <c r="G24" s="117"/>
      <c r="H24" s="117"/>
      <c r="I24" s="117"/>
      <c r="J24" s="119"/>
      <c r="K24" s="118"/>
      <c r="L24" s="118"/>
      <c r="M24" s="117"/>
      <c r="N24" s="117"/>
      <c r="O24" s="117"/>
      <c r="P24" s="118"/>
      <c r="Q24" s="117"/>
      <c r="R24" s="117"/>
      <c r="S24" s="117"/>
      <c r="T24" s="117"/>
      <c r="U24" s="117"/>
      <c r="V24" s="119" t="str">
        <f t="shared" si="3"/>
        <v>27</v>
      </c>
      <c r="W24" s="118">
        <f>COUNTIF($V$2:$V$286,V24)-1</f>
        <v>0</v>
      </c>
      <c r="X24" s="118"/>
      <c r="Y24" s="121"/>
      <c r="Z24" s="121"/>
      <c r="AA24" s="121"/>
    </row>
    <row r="25" spans="1:27" ht="18.75">
      <c r="A25" s="119"/>
      <c r="B25" s="117">
        <v>3200</v>
      </c>
      <c r="C25" s="117"/>
      <c r="D25" s="117" t="str">
        <f>"พัสดุ"&amp; VLOOKUP(V25,'เลขSpec.2 ตัวแรก'!$A$2:$B$100,2,FALSE)&amp; " จำนวน "&amp;W25&amp;" รายการ"</f>
        <v>พัสดุหมวด 32 เครื่องจักรกลงานไม้และบริภัณฑ์ จำนวน 3 รายการ</v>
      </c>
      <c r="E25" s="118"/>
      <c r="F25" s="117"/>
      <c r="G25" s="117"/>
      <c r="H25" s="117"/>
      <c r="I25" s="117"/>
      <c r="J25" s="117"/>
      <c r="K25" s="119"/>
      <c r="L25" s="119"/>
      <c r="M25" s="119"/>
      <c r="N25" s="117"/>
      <c r="O25" s="117"/>
      <c r="P25" s="117"/>
      <c r="Q25" s="118"/>
      <c r="R25" s="117"/>
      <c r="S25" s="117"/>
      <c r="T25" s="117"/>
      <c r="U25" s="117"/>
      <c r="V25" s="117" t="str">
        <f t="shared" si="3"/>
        <v>32</v>
      </c>
      <c r="W25" s="119">
        <f>COUNTIF($V$2:$V$286,V25)-1</f>
        <v>3</v>
      </c>
      <c r="X25" s="119"/>
      <c r="Y25" s="24"/>
      <c r="Z25" s="24"/>
      <c r="AA25" s="24"/>
    </row>
    <row r="26" spans="1:27" ht="18.75">
      <c r="A26" s="88"/>
      <c r="B26" s="121">
        <v>3220</v>
      </c>
      <c r="C26" s="121" t="s">
        <v>191</v>
      </c>
      <c r="D26" s="88" t="s">
        <v>192</v>
      </c>
      <c r="E26" s="121">
        <v>57</v>
      </c>
      <c r="F26" s="46" t="s">
        <v>193</v>
      </c>
      <c r="G26" s="26" t="s">
        <v>78</v>
      </c>
      <c r="H26" s="122">
        <v>75000</v>
      </c>
      <c r="I26" s="123"/>
      <c r="J26" s="130" t="str">
        <f>HYPERLINK("https://drive.google.com/open?id=0B2rLR4BADrBtc1hxSmw0LUFkX3M","3220")</f>
        <v>3220</v>
      </c>
      <c r="K26" s="132" t="str">
        <f>HYPERLINK("https://drive.google.com/drive/folders/0BwQ57SNHxB3BZjMxMXpBUmxrV0E","3220")</f>
        <v>3220</v>
      </c>
      <c r="L26" s="125"/>
      <c r="M26" s="46"/>
      <c r="N26" s="126"/>
      <c r="O26" s="126"/>
      <c r="P26" s="126"/>
      <c r="Q26" s="126"/>
      <c r="R26" s="126"/>
      <c r="S26" s="126"/>
      <c r="T26" s="128">
        <v>15</v>
      </c>
      <c r="U26" s="128">
        <f>E26+T26-2+2500</f>
        <v>2570</v>
      </c>
      <c r="V26" s="129" t="str">
        <f t="shared" si="3"/>
        <v>32</v>
      </c>
      <c r="W26" s="121">
        <f>COUNTIF('สำเนาของ 52-62 (สำหรับ จก.ตรวจเ'!$V$4:$V$286,V26)-1</f>
        <v>3</v>
      </c>
      <c r="X26" s="121"/>
      <c r="Y26" s="121"/>
      <c r="Z26" s="121"/>
      <c r="AA26" s="121"/>
    </row>
    <row r="27" spans="1:27" ht="18.75">
      <c r="A27" s="88"/>
      <c r="B27" s="121">
        <v>3220</v>
      </c>
      <c r="C27" s="121" t="s">
        <v>191</v>
      </c>
      <c r="D27" s="88" t="s">
        <v>202</v>
      </c>
      <c r="E27" s="121">
        <v>58</v>
      </c>
      <c r="F27" s="46" t="s">
        <v>203</v>
      </c>
      <c r="G27" s="26" t="s">
        <v>78</v>
      </c>
      <c r="H27" s="122">
        <v>14500</v>
      </c>
      <c r="I27" s="123"/>
      <c r="J27" s="130" t="str">
        <f>HYPERLINK("https://drive.google.com/open?id=0B2vBTVEfSzItWXBaMWdCbkgtMjQ","3220")</f>
        <v>3220</v>
      </c>
      <c r="K27" s="133" t="str">
        <f>HYPERLINK("https://drive.google.com/drive/folders/0BwQ57SNHxB3BZjMxMXpBUmxrV0E","3220")</f>
        <v>3220</v>
      </c>
      <c r="L27" s="134"/>
      <c r="M27" s="46"/>
      <c r="N27" s="126"/>
      <c r="O27" s="126"/>
      <c r="P27" s="126"/>
      <c r="Q27" s="126"/>
      <c r="R27" s="126"/>
      <c r="S27" s="126"/>
      <c r="T27" s="128"/>
      <c r="U27" s="128">
        <f>E27+T27-2+2500</f>
        <v>2556</v>
      </c>
      <c r="V27" s="129" t="str">
        <f t="shared" si="3"/>
        <v>32</v>
      </c>
      <c r="W27" s="121">
        <f>COUNTIF($V$4:$V$286,V27)-1</f>
        <v>3</v>
      </c>
      <c r="X27" s="121"/>
      <c r="Y27" s="121"/>
      <c r="Z27" s="121"/>
      <c r="AA27" s="121"/>
    </row>
    <row r="28" spans="1:27" ht="18.75">
      <c r="A28" s="88"/>
      <c r="B28" s="121">
        <v>3230</v>
      </c>
      <c r="C28" s="121" t="s">
        <v>191</v>
      </c>
      <c r="D28" s="88" t="s">
        <v>208</v>
      </c>
      <c r="E28" s="121">
        <v>57</v>
      </c>
      <c r="F28" s="46" t="s">
        <v>209</v>
      </c>
      <c r="G28" s="26" t="s">
        <v>78</v>
      </c>
      <c r="H28" s="122">
        <v>35000</v>
      </c>
      <c r="I28" s="123"/>
      <c r="J28" s="130" t="str">
        <f>HYPERLINK("https://drive.google.com/open?id=0B2rLR4BADrBtdG1RQTR2QTF5R1E","3230")</f>
        <v>3230</v>
      </c>
      <c r="K28" s="132" t="str">
        <f>HYPERLINK("https://drive.google.com/drive/folders/0BwQ57SNHxB3BdE9oc18tQUktSHc","3230")</f>
        <v>3230</v>
      </c>
      <c r="L28" s="125"/>
      <c r="M28" s="46"/>
      <c r="N28" s="126"/>
      <c r="O28" s="126"/>
      <c r="P28" s="126"/>
      <c r="Q28" s="126"/>
      <c r="R28" s="126"/>
      <c r="S28" s="126"/>
      <c r="T28" s="128">
        <v>15</v>
      </c>
      <c r="U28" s="128">
        <f>E28+T28-2+2500</f>
        <v>2570</v>
      </c>
      <c r="V28" s="129" t="str">
        <f t="shared" si="3"/>
        <v>32</v>
      </c>
      <c r="W28" s="121">
        <f>COUNTIF('สำเนาของ 52-62 (สำหรับ จก.ตรวจเ'!$V$4:$V$286,V28)-1</f>
        <v>3</v>
      </c>
      <c r="X28" s="121"/>
      <c r="Y28" s="121"/>
      <c r="Z28" s="121"/>
      <c r="AA28" s="121"/>
    </row>
    <row r="29" spans="1:27" ht="18.75">
      <c r="A29" s="117"/>
      <c r="B29" s="117">
        <v>3400</v>
      </c>
      <c r="C29" s="117"/>
      <c r="D29" s="118" t="str">
        <f>"พัสดุ"&amp; VLOOKUP(V29,'เลขSpec.2 ตัวแรก'!$A$2:$B$100,2,FALSE)&amp; " จำนวน "&amp;W29&amp;" รายการ"</f>
        <v>พัสดุหมวด 34 เครื่องจักรกลงานโลหะ จำนวน 10 รายการ</v>
      </c>
      <c r="E29" s="117"/>
      <c r="F29" s="117"/>
      <c r="G29" s="117"/>
      <c r="H29" s="117"/>
      <c r="I29" s="117"/>
      <c r="J29" s="119"/>
      <c r="K29" s="119"/>
      <c r="L29" s="119"/>
      <c r="M29" s="117"/>
      <c r="N29" s="117"/>
      <c r="O29" s="117"/>
      <c r="P29" s="118"/>
      <c r="Q29" s="117"/>
      <c r="R29" s="117"/>
      <c r="S29" s="117"/>
      <c r="T29" s="117"/>
      <c r="U29" s="117"/>
      <c r="V29" s="119" t="str">
        <f t="shared" si="3"/>
        <v>34</v>
      </c>
      <c r="W29" s="119">
        <f>COUNTIF($V$2:$V$286,V29)-1</f>
        <v>10</v>
      </c>
      <c r="X29" s="119"/>
      <c r="Y29" s="121"/>
      <c r="Z29" s="121"/>
      <c r="AA29" s="121"/>
    </row>
    <row r="30" spans="1:27" ht="18.75">
      <c r="A30" s="88"/>
      <c r="B30" s="121">
        <v>3405</v>
      </c>
      <c r="C30" s="121" t="s">
        <v>191</v>
      </c>
      <c r="D30" s="88" t="s">
        <v>220</v>
      </c>
      <c r="E30" s="121">
        <v>52</v>
      </c>
      <c r="F30" s="46" t="s">
        <v>221</v>
      </c>
      <c r="G30" s="26" t="s">
        <v>78</v>
      </c>
      <c r="H30" s="122">
        <v>8600</v>
      </c>
      <c r="I30" s="123"/>
      <c r="J30" s="130" t="str">
        <f>HYPERLINK("https://drive.google.com/open?id=0B2rLR4BADrBtd3R2NnRmbklZelU","3405")</f>
        <v>3405</v>
      </c>
      <c r="K30" s="132" t="str">
        <f>HYPERLINK("https://drive.google.com/drive/folders/0BwQ57SNHxB3BdzY1djNhX3dxdUk","3405")</f>
        <v>3405</v>
      </c>
      <c r="L30" s="125"/>
      <c r="M30" s="46"/>
      <c r="N30" s="126"/>
      <c r="O30" s="126"/>
      <c r="P30" s="126"/>
      <c r="Q30" s="126"/>
      <c r="R30" s="126"/>
      <c r="S30" s="126"/>
      <c r="T30" s="128">
        <v>15</v>
      </c>
      <c r="U30" s="128">
        <f t="shared" ref="U30:U40" si="4">E30+T30-2+2500</f>
        <v>2565</v>
      </c>
      <c r="V30" s="129" t="str">
        <f t="shared" si="3"/>
        <v>34</v>
      </c>
      <c r="W30" s="121">
        <f>COUNTIF('สำเนาของ 52-62 (สำหรับ จก.ตรวจเ'!$V$4:$V$286,V30)-1</f>
        <v>10</v>
      </c>
      <c r="X30" s="121"/>
      <c r="Y30" s="121"/>
      <c r="Z30" s="121"/>
      <c r="AA30" s="121"/>
    </row>
    <row r="31" spans="1:27" ht="18.75">
      <c r="A31" s="88"/>
      <c r="B31" s="121">
        <v>3413</v>
      </c>
      <c r="C31" s="121" t="s">
        <v>191</v>
      </c>
      <c r="D31" s="88" t="s">
        <v>226</v>
      </c>
      <c r="E31" s="121">
        <v>52</v>
      </c>
      <c r="F31" s="46" t="s">
        <v>227</v>
      </c>
      <c r="G31" s="26" t="s">
        <v>78</v>
      </c>
      <c r="H31" s="122">
        <v>15000</v>
      </c>
      <c r="I31" s="123"/>
      <c r="J31" s="130" t="str">
        <f>HYPERLINK("https://drive.google.com/open?id=0B2rLR4BADrBtdzZfbDc4OUtuZVU","3413")</f>
        <v>3413</v>
      </c>
      <c r="K31" s="132" t="str">
        <f>HYPERLINK("https://drive.google.com/drive/folders/0BwQ57SNHxB3BX0c2ZjdOU3ZsaU0","3413")</f>
        <v>3413</v>
      </c>
      <c r="L31" s="125"/>
      <c r="M31" s="46"/>
      <c r="N31" s="126"/>
      <c r="O31" s="126"/>
      <c r="P31" s="126"/>
      <c r="Q31" s="126"/>
      <c r="R31" s="126"/>
      <c r="S31" s="126"/>
      <c r="T31" s="128">
        <v>15</v>
      </c>
      <c r="U31" s="128">
        <f t="shared" si="4"/>
        <v>2565</v>
      </c>
      <c r="V31" s="129" t="str">
        <f t="shared" si="3"/>
        <v>34</v>
      </c>
      <c r="W31" s="121">
        <f>COUNTIF($V$4:$V$286,V31)-1</f>
        <v>10</v>
      </c>
      <c r="X31" s="121"/>
      <c r="Y31" s="121"/>
      <c r="Z31" s="121"/>
      <c r="AA31" s="121"/>
    </row>
    <row r="32" spans="1:27" ht="18.75">
      <c r="A32" s="88"/>
      <c r="B32" s="121">
        <v>3416</v>
      </c>
      <c r="C32" s="121" t="s">
        <v>157</v>
      </c>
      <c r="D32" s="88" t="s">
        <v>232</v>
      </c>
      <c r="E32" s="121">
        <v>59</v>
      </c>
      <c r="F32" s="46" t="s">
        <v>233</v>
      </c>
      <c r="G32" s="26" t="s">
        <v>78</v>
      </c>
      <c r="H32" s="122">
        <v>550000</v>
      </c>
      <c r="I32" s="123"/>
      <c r="J32" s="130" t="str">
        <f>HYPERLINK("https://drive.google.com/open?id=0B2vBTVEfSzItd1J5b3FLZHlEUk0","3416")</f>
        <v>3416</v>
      </c>
      <c r="K32" s="125"/>
      <c r="L32" s="125"/>
      <c r="M32" s="46"/>
      <c r="N32" s="126"/>
      <c r="O32" s="126"/>
      <c r="P32" s="126"/>
      <c r="Q32" s="126"/>
      <c r="R32" s="126"/>
      <c r="S32" s="126"/>
      <c r="T32" s="135"/>
      <c r="U32" s="135">
        <f t="shared" si="4"/>
        <v>2557</v>
      </c>
      <c r="V32" s="129"/>
      <c r="W32" s="121"/>
      <c r="X32" s="121"/>
      <c r="Y32" s="121"/>
      <c r="Z32" s="121"/>
      <c r="AA32" s="121"/>
    </row>
    <row r="33" spans="1:27" ht="18.75">
      <c r="A33" s="88"/>
      <c r="B33" s="121">
        <v>3431</v>
      </c>
      <c r="C33" s="121" t="s">
        <v>63</v>
      </c>
      <c r="D33" s="88" t="s">
        <v>237</v>
      </c>
      <c r="E33" s="121">
        <v>53</v>
      </c>
      <c r="F33" s="46" t="s">
        <v>239</v>
      </c>
      <c r="G33" s="26" t="s">
        <v>78</v>
      </c>
      <c r="H33" s="122">
        <v>175000</v>
      </c>
      <c r="I33" s="123"/>
      <c r="J33" s="130" t="str">
        <f>HYPERLINK("https://drive.google.com/open?id=0B2rLR4BADrBteHJPbTBnZjJzeGM","3431")</f>
        <v>3431</v>
      </c>
      <c r="K33" s="132" t="str">
        <f>HYPERLINK("https://drive.google.com/drive/folders/0BwQ57SNHxB3BVS1xSXlxWlpXb0E","3431")</f>
        <v>3431</v>
      </c>
      <c r="L33" s="125"/>
      <c r="M33" s="46"/>
      <c r="N33" s="126"/>
      <c r="O33" s="126"/>
      <c r="P33" s="126"/>
      <c r="Q33" s="126"/>
      <c r="R33" s="126"/>
      <c r="S33" s="126"/>
      <c r="T33" s="128">
        <v>15</v>
      </c>
      <c r="U33" s="128">
        <f t="shared" si="4"/>
        <v>2566</v>
      </c>
      <c r="V33" s="129" t="str">
        <f t="shared" ref="V33:V51" si="5">LEFT(B33, SEARCH("",B33,2))</f>
        <v>34</v>
      </c>
      <c r="W33" s="121">
        <f>COUNTIF('สำเนาของ 52-62 (สำหรับ จก.ตรวจเ'!$V$4:$V$286,V33)-1</f>
        <v>10</v>
      </c>
      <c r="X33" s="121"/>
      <c r="Y33" s="121"/>
      <c r="Z33" s="121"/>
      <c r="AA33" s="121"/>
    </row>
    <row r="34" spans="1:27" ht="18.75">
      <c r="A34" s="88"/>
      <c r="B34" s="121">
        <v>3431</v>
      </c>
      <c r="C34" s="121" t="s">
        <v>157</v>
      </c>
      <c r="D34" s="88" t="s">
        <v>243</v>
      </c>
      <c r="E34" s="121">
        <v>55</v>
      </c>
      <c r="F34" s="46" t="s">
        <v>244</v>
      </c>
      <c r="G34" s="26" t="s">
        <v>78</v>
      </c>
      <c r="H34" s="122">
        <v>35000</v>
      </c>
      <c r="I34" s="123"/>
      <c r="J34" s="130" t="str">
        <f>HYPERLINK("https://drive.google.com/open?id=0B2rLR4BADrBta29mZlgzQ0NlRWc","3431")</f>
        <v>3431</v>
      </c>
      <c r="K34" s="132" t="str">
        <f>HYPERLINK("https://drive.google.com/drive/folders/0BwQ57SNHxB3BVS1xSXlxWlpXb0E","3431")</f>
        <v>3431</v>
      </c>
      <c r="L34" s="125"/>
      <c r="M34" s="46"/>
      <c r="N34" s="126"/>
      <c r="O34" s="126"/>
      <c r="P34" s="126"/>
      <c r="Q34" s="126"/>
      <c r="R34" s="126"/>
      <c r="S34" s="126"/>
      <c r="T34" s="128">
        <v>15</v>
      </c>
      <c r="U34" s="128">
        <f t="shared" si="4"/>
        <v>2568</v>
      </c>
      <c r="V34" s="129" t="str">
        <f t="shared" si="5"/>
        <v>34</v>
      </c>
      <c r="W34" s="121">
        <f>COUNTIF('สำเนาของ 52-62 (สำหรับ จก.ตรวจเ'!$V$4:$V$286,V34)-1</f>
        <v>10</v>
      </c>
      <c r="X34" s="121"/>
      <c r="Y34" s="121"/>
      <c r="Z34" s="121"/>
      <c r="AA34" s="121"/>
    </row>
    <row r="35" spans="1:27" ht="18.75">
      <c r="A35" s="88"/>
      <c r="B35" s="121">
        <v>3431</v>
      </c>
      <c r="C35" s="121" t="s">
        <v>157</v>
      </c>
      <c r="D35" s="88" t="s">
        <v>248</v>
      </c>
      <c r="E35" s="121">
        <v>54</v>
      </c>
      <c r="F35" s="46" t="s">
        <v>250</v>
      </c>
      <c r="G35" s="26" t="s">
        <v>78</v>
      </c>
      <c r="H35" s="122">
        <v>14000</v>
      </c>
      <c r="I35" s="123"/>
      <c r="J35" s="130" t="str">
        <f>HYPERLINK("https://drive.google.com/open?id=0B2rLR4BADrBtNk1ISXg0N29SU0E","3431")</f>
        <v>3431</v>
      </c>
      <c r="K35" s="132" t="str">
        <f>HYPERLINK("https://drive.google.com/drive/folders/0BwQ57SNHxB3BVS1xSXlxWlpXb0E","3431")</f>
        <v>3431</v>
      </c>
      <c r="L35" s="125"/>
      <c r="M35" s="46"/>
      <c r="N35" s="126"/>
      <c r="O35" s="126"/>
      <c r="P35" s="126"/>
      <c r="Q35" s="126"/>
      <c r="R35" s="126"/>
      <c r="S35" s="126"/>
      <c r="T35" s="128">
        <v>15</v>
      </c>
      <c r="U35" s="128">
        <f t="shared" si="4"/>
        <v>2567</v>
      </c>
      <c r="V35" s="129" t="str">
        <f t="shared" si="5"/>
        <v>34</v>
      </c>
      <c r="W35" s="121">
        <f>COUNTIF('สำเนาของ 52-62 (สำหรับ จก.ตรวจเ'!$V$4:$V$286,V35)-1</f>
        <v>10</v>
      </c>
      <c r="X35" s="121"/>
      <c r="Y35" s="121"/>
      <c r="Z35" s="121"/>
      <c r="AA35" s="121"/>
    </row>
    <row r="36" spans="1:27" ht="18.75">
      <c r="A36" s="88"/>
      <c r="B36" s="121">
        <v>3432</v>
      </c>
      <c r="C36" s="121" t="s">
        <v>256</v>
      </c>
      <c r="D36" s="88" t="s">
        <v>257</v>
      </c>
      <c r="E36" s="121">
        <v>54</v>
      </c>
      <c r="F36" s="46" t="s">
        <v>258</v>
      </c>
      <c r="G36" s="26" t="s">
        <v>78</v>
      </c>
      <c r="H36" s="122">
        <v>220000</v>
      </c>
      <c r="I36" s="123"/>
      <c r="J36" s="124"/>
      <c r="K36" s="132" t="str">
        <f>HYPERLINK("https://drive.google.com/drive/folders/0BwQ57SNHxB3BbUpjRGZlNExpcE0","3432")</f>
        <v>3432</v>
      </c>
      <c r="L36" s="125"/>
      <c r="M36" s="46"/>
      <c r="N36" s="126"/>
      <c r="O36" s="126"/>
      <c r="P36" s="126"/>
      <c r="Q36" s="126"/>
      <c r="R36" s="126"/>
      <c r="S36" s="126"/>
      <c r="T36" s="128">
        <v>15</v>
      </c>
      <c r="U36" s="128">
        <f t="shared" si="4"/>
        <v>2567</v>
      </c>
      <c r="V36" s="129" t="str">
        <f t="shared" si="5"/>
        <v>34</v>
      </c>
      <c r="W36" s="121">
        <f>COUNTIF('สำเนาของ 52-62 (สำหรับ จก.ตรวจเ'!$V$4:$V$286,V36)-1</f>
        <v>10</v>
      </c>
      <c r="X36" s="121"/>
      <c r="Y36" s="121"/>
      <c r="Z36" s="121"/>
      <c r="AA36" s="121"/>
    </row>
    <row r="37" spans="1:27" ht="18.75">
      <c r="A37" s="88"/>
      <c r="B37" s="121">
        <v>3432</v>
      </c>
      <c r="C37" s="121" t="s">
        <v>256</v>
      </c>
      <c r="D37" s="88" t="s">
        <v>263</v>
      </c>
      <c r="E37" s="121">
        <v>56</v>
      </c>
      <c r="F37" s="46" t="s">
        <v>265</v>
      </c>
      <c r="G37" s="26" t="s">
        <v>78</v>
      </c>
      <c r="H37" s="122">
        <v>100000</v>
      </c>
      <c r="I37" s="123"/>
      <c r="J37" s="124"/>
      <c r="K37" s="132" t="str">
        <f>HYPERLINK("https://drive.google.com/drive/folders/0BwQ57SNHxB3BbUpjRGZlNExpcE0","3432")</f>
        <v>3432</v>
      </c>
      <c r="L37" s="125"/>
      <c r="M37" s="46"/>
      <c r="N37" s="126"/>
      <c r="O37" s="126"/>
      <c r="P37" s="126"/>
      <c r="Q37" s="126"/>
      <c r="R37" s="126"/>
      <c r="S37" s="126"/>
      <c r="T37" s="128">
        <v>15</v>
      </c>
      <c r="U37" s="128">
        <f t="shared" si="4"/>
        <v>2569</v>
      </c>
      <c r="V37" s="129" t="str">
        <f t="shared" si="5"/>
        <v>34</v>
      </c>
      <c r="W37" s="121">
        <f>COUNTIF('สำเนาของ 52-62 (สำหรับ จก.ตรวจเ'!$V$4:$V$286,V37)-1</f>
        <v>10</v>
      </c>
      <c r="X37" s="121"/>
      <c r="Y37" s="121"/>
      <c r="Z37" s="121"/>
      <c r="AA37" s="121"/>
    </row>
    <row r="38" spans="1:27" ht="18.75">
      <c r="A38" s="88"/>
      <c r="B38" s="121">
        <v>3433</v>
      </c>
      <c r="C38" s="121" t="s">
        <v>157</v>
      </c>
      <c r="D38" s="88" t="s">
        <v>270</v>
      </c>
      <c r="E38" s="121">
        <v>54</v>
      </c>
      <c r="F38" s="46" t="s">
        <v>272</v>
      </c>
      <c r="G38" s="26" t="s">
        <v>273</v>
      </c>
      <c r="H38" s="122">
        <v>9500</v>
      </c>
      <c r="I38" s="123"/>
      <c r="J38" s="130" t="str">
        <f>HYPERLINK("https://drive.google.com/open?id=0B2rLR4BADrBtX294RUVaWDdNS1k","3433")</f>
        <v>3433</v>
      </c>
      <c r="K38" s="132" t="str">
        <f>HYPERLINK("https://drive.google.com/drive/folders/0BwQ57SNHxB3BNFgyQ2E3b216NjQ","3433")</f>
        <v>3433</v>
      </c>
      <c r="L38" s="125"/>
      <c r="M38" s="46"/>
      <c r="N38" s="126"/>
      <c r="O38" s="126"/>
      <c r="P38" s="126"/>
      <c r="Q38" s="126"/>
      <c r="R38" s="126"/>
      <c r="S38" s="126"/>
      <c r="T38" s="128">
        <v>15</v>
      </c>
      <c r="U38" s="128">
        <f t="shared" si="4"/>
        <v>2567</v>
      </c>
      <c r="V38" s="129" t="str">
        <f t="shared" si="5"/>
        <v>34</v>
      </c>
      <c r="W38" s="121">
        <f>COUNTIF($V$4:$V$286,V38)-1</f>
        <v>10</v>
      </c>
      <c r="X38" s="121"/>
      <c r="Y38" s="121"/>
      <c r="Z38" s="121"/>
      <c r="AA38" s="121"/>
    </row>
    <row r="39" spans="1:27" ht="18.75">
      <c r="A39" s="88"/>
      <c r="B39" s="121">
        <v>3433</v>
      </c>
      <c r="C39" s="121" t="s">
        <v>157</v>
      </c>
      <c r="D39" s="88" t="s">
        <v>278</v>
      </c>
      <c r="E39" s="121">
        <v>53</v>
      </c>
      <c r="F39" s="46" t="s">
        <v>279</v>
      </c>
      <c r="G39" s="26" t="s">
        <v>53</v>
      </c>
      <c r="H39" s="122">
        <v>26500</v>
      </c>
      <c r="I39" s="123"/>
      <c r="J39" s="130" t="str">
        <f>HYPERLINK("https://drive.google.com/open?id=0B2rLR4BADrBteHAyVnJ3MGo0YXc","3433")</f>
        <v>3433</v>
      </c>
      <c r="K39" s="132" t="str">
        <f>HYPERLINK("https://drive.google.com/drive/folders/0BwQ57SNHxB3BNFgyQ2E3b216NjQ","3433")</f>
        <v>3433</v>
      </c>
      <c r="L39" s="125"/>
      <c r="M39" s="46"/>
      <c r="N39" s="126"/>
      <c r="O39" s="126"/>
      <c r="P39" s="126"/>
      <c r="Q39" s="126"/>
      <c r="R39" s="126"/>
      <c r="S39" s="126"/>
      <c r="T39" s="128">
        <v>15</v>
      </c>
      <c r="U39" s="128">
        <f t="shared" si="4"/>
        <v>2566</v>
      </c>
      <c r="V39" s="129" t="str">
        <f t="shared" si="5"/>
        <v>34</v>
      </c>
      <c r="W39" s="121">
        <f>COUNTIF($V$4:$V$286,V39)-1</f>
        <v>10</v>
      </c>
      <c r="X39" s="121"/>
      <c r="Y39" s="121"/>
      <c r="Z39" s="121"/>
      <c r="AA39" s="121"/>
    </row>
    <row r="40" spans="1:27" ht="18.75">
      <c r="A40" s="88"/>
      <c r="B40" s="121">
        <v>3442</v>
      </c>
      <c r="C40" s="121" t="s">
        <v>63</v>
      </c>
      <c r="D40" s="88" t="s">
        <v>284</v>
      </c>
      <c r="E40" s="121">
        <v>58</v>
      </c>
      <c r="F40" s="46" t="s">
        <v>285</v>
      </c>
      <c r="G40" s="26" t="s">
        <v>78</v>
      </c>
      <c r="H40" s="122">
        <v>200000</v>
      </c>
      <c r="I40" s="123"/>
      <c r="J40" s="130" t="str">
        <f>HYPERLINK("https://drive.google.com/open?id=0B2vBTVEfSzItUG5vN19yWDJVdWM","3442")</f>
        <v>3442</v>
      </c>
      <c r="K40" s="132" t="str">
        <f>HYPERLINK("https://drive.google.com/drive/folders/0BwQ57SNHxB3BWmotZ1N2X1Z3djQ","3442")</f>
        <v>3442</v>
      </c>
      <c r="L40" s="125"/>
      <c r="M40" s="46"/>
      <c r="N40" s="126"/>
      <c r="O40" s="126"/>
      <c r="P40" s="126"/>
      <c r="Q40" s="126"/>
      <c r="R40" s="126"/>
      <c r="S40" s="126"/>
      <c r="T40" s="128"/>
      <c r="U40" s="128">
        <f t="shared" si="4"/>
        <v>2556</v>
      </c>
      <c r="V40" s="129" t="str">
        <f t="shared" si="5"/>
        <v>34</v>
      </c>
      <c r="W40" s="121">
        <f>COUNTIF('สำเนาของ 52-62 (สำหรับ จก.ตรวจเ'!$V$4:$V$286,V40)-1</f>
        <v>10</v>
      </c>
      <c r="X40" s="121"/>
      <c r="Y40" s="121"/>
      <c r="Z40" s="121"/>
      <c r="AA40" s="121"/>
    </row>
    <row r="41" spans="1:27" ht="18.75">
      <c r="A41" s="117"/>
      <c r="B41" s="117">
        <v>3700</v>
      </c>
      <c r="C41" s="117"/>
      <c r="D41" s="120" t="str">
        <f>"พัสดุ"&amp; VLOOKUP(V41,'เลขSpec.2 ตัวแรก'!$A$2:$B$100,2,FALSE)&amp; " จำนวน "&amp;W41&amp;" รายการ"</f>
        <v>พัสดุหมวด 37 เครื่องจักรกลและบริภัณฑ์เกษตรกรรม จำนวน 6 รายการ</v>
      </c>
      <c r="E41" s="117"/>
      <c r="F41" s="117"/>
      <c r="G41" s="117"/>
      <c r="H41" s="117"/>
      <c r="I41" s="117"/>
      <c r="J41" s="119"/>
      <c r="K41" s="118"/>
      <c r="L41" s="118"/>
      <c r="M41" s="117"/>
      <c r="N41" s="117"/>
      <c r="O41" s="117"/>
      <c r="P41" s="118"/>
      <c r="Q41" s="117"/>
      <c r="R41" s="117"/>
      <c r="S41" s="117"/>
      <c r="T41" s="117"/>
      <c r="U41" s="117"/>
      <c r="V41" s="119" t="str">
        <f t="shared" si="5"/>
        <v>37</v>
      </c>
      <c r="W41" s="118">
        <f>COUNTIF($V$2:$V$286,V41)-1</f>
        <v>6</v>
      </c>
      <c r="X41" s="118"/>
      <c r="Y41" s="121"/>
      <c r="Z41" s="121"/>
      <c r="AA41" s="121"/>
    </row>
    <row r="42" spans="1:27" ht="18.75">
      <c r="A42" s="88"/>
      <c r="B42" s="121">
        <v>3750</v>
      </c>
      <c r="C42" s="121" t="s">
        <v>256</v>
      </c>
      <c r="D42" s="121" t="s">
        <v>294</v>
      </c>
      <c r="E42" s="121">
        <v>61</v>
      </c>
      <c r="F42" s="46" t="s">
        <v>152</v>
      </c>
      <c r="G42" s="26" t="s">
        <v>78</v>
      </c>
      <c r="H42" s="122">
        <v>9500</v>
      </c>
      <c r="I42" s="123"/>
      <c r="J42" s="130" t="str">
        <f>HYPERLINK("https://drive.google.com/open?id=1ufQfoDiiaYCbrJzN3VHB6iPNKKG93CRr","3750")</f>
        <v>3750</v>
      </c>
      <c r="K42" s="125"/>
      <c r="L42" s="125"/>
      <c r="M42" s="46"/>
      <c r="N42" s="126"/>
      <c r="O42" s="126"/>
      <c r="P42" s="126"/>
      <c r="Q42" s="126"/>
      <c r="R42" s="126"/>
      <c r="S42" s="126"/>
      <c r="T42" s="128"/>
      <c r="U42" s="128">
        <f t="shared" ref="U42:U47" si="6">E42+T42-2+2500</f>
        <v>2559</v>
      </c>
      <c r="V42" s="129" t="str">
        <f t="shared" si="5"/>
        <v>37</v>
      </c>
      <c r="W42" s="121">
        <f>COUNTIF('สำเนาของ 52-62 (สำหรับ จก.ตรวจเ'!$V$4:$V$286,V42)-1</f>
        <v>6</v>
      </c>
      <c r="X42" s="121"/>
      <c r="Y42" s="121"/>
      <c r="Z42" s="121"/>
      <c r="AA42" s="121"/>
    </row>
    <row r="43" spans="1:27" ht="18.75">
      <c r="A43" s="88"/>
      <c r="B43" s="121">
        <v>3750</v>
      </c>
      <c r="C43" s="121" t="s">
        <v>256</v>
      </c>
      <c r="D43" s="88" t="s">
        <v>303</v>
      </c>
      <c r="E43" s="121">
        <v>53</v>
      </c>
      <c r="F43" s="46" t="s">
        <v>161</v>
      </c>
      <c r="G43" s="26" t="s">
        <v>78</v>
      </c>
      <c r="H43" s="122">
        <v>13000</v>
      </c>
      <c r="I43" s="123"/>
      <c r="J43" s="130" t="str">
        <f>HYPERLINK("https://drive.google.com/open?id=0B2vBTVEfSzItWWFhdUNacTUtMnM","3750")</f>
        <v>3750</v>
      </c>
      <c r="K43" s="132" t="str">
        <f>HYPERLINK("https://drive.google.com/drive/folders/0BwQ57SNHxB3BUFZCYzVBQWZaVTA","3750")</f>
        <v>3750</v>
      </c>
      <c r="L43" s="125"/>
      <c r="M43" s="46"/>
      <c r="N43" s="126"/>
      <c r="O43" s="126"/>
      <c r="P43" s="126"/>
      <c r="Q43" s="126"/>
      <c r="R43" s="126"/>
      <c r="S43" s="126"/>
      <c r="T43" s="128">
        <v>15</v>
      </c>
      <c r="U43" s="128">
        <f t="shared" si="6"/>
        <v>2566</v>
      </c>
      <c r="V43" s="129" t="str">
        <f t="shared" si="5"/>
        <v>37</v>
      </c>
      <c r="W43" s="121">
        <f>COUNTIF('สำเนาของ 52-62 (สำหรับ จก.ตรวจเ'!$V$4:$V$286,V43)-1</f>
        <v>6</v>
      </c>
      <c r="X43" s="121"/>
      <c r="Y43" s="121"/>
      <c r="Z43" s="121"/>
      <c r="AA43" s="121"/>
    </row>
    <row r="44" spans="1:27" ht="18.75">
      <c r="A44" s="88"/>
      <c r="B44" s="121">
        <v>3750</v>
      </c>
      <c r="C44" s="121" t="s">
        <v>256</v>
      </c>
      <c r="D44" s="88" t="s">
        <v>310</v>
      </c>
      <c r="E44" s="121">
        <v>53</v>
      </c>
      <c r="F44" s="46" t="s">
        <v>165</v>
      </c>
      <c r="G44" s="26" t="s">
        <v>78</v>
      </c>
      <c r="H44" s="122">
        <v>182000</v>
      </c>
      <c r="I44" s="123"/>
      <c r="J44" s="124"/>
      <c r="K44" s="132" t="str">
        <f>HYPERLINK("https://drive.google.com/drive/folders/0BwQ57SNHxB3BUFZCYzVBQWZaVTA","3750")</f>
        <v>3750</v>
      </c>
      <c r="L44" s="125"/>
      <c r="M44" s="46"/>
      <c r="N44" s="126"/>
      <c r="O44" s="126"/>
      <c r="P44" s="126"/>
      <c r="Q44" s="126"/>
      <c r="R44" s="126"/>
      <c r="S44" s="126"/>
      <c r="T44" s="128">
        <v>15</v>
      </c>
      <c r="U44" s="128">
        <f t="shared" si="6"/>
        <v>2566</v>
      </c>
      <c r="V44" s="129" t="str">
        <f t="shared" si="5"/>
        <v>37</v>
      </c>
      <c r="W44" s="121">
        <f>COUNTIF('สำเนาของ 52-62 (สำหรับ จก.ตรวจเ'!$V$4:$V$286,V44)-1</f>
        <v>6</v>
      </c>
      <c r="X44" s="121"/>
      <c r="Y44" s="121"/>
      <c r="Z44" s="121"/>
      <c r="AA44" s="121"/>
    </row>
    <row r="45" spans="1:27" ht="18.75">
      <c r="A45" s="88"/>
      <c r="B45" s="121">
        <v>3750</v>
      </c>
      <c r="C45" s="121" t="s">
        <v>256</v>
      </c>
      <c r="D45" s="88" t="s">
        <v>313</v>
      </c>
      <c r="E45" s="121">
        <v>53</v>
      </c>
      <c r="F45" s="46" t="s">
        <v>167</v>
      </c>
      <c r="G45" s="26" t="s">
        <v>78</v>
      </c>
      <c r="H45" s="122">
        <v>12000</v>
      </c>
      <c r="I45" s="123"/>
      <c r="J45" s="124"/>
      <c r="K45" s="132" t="str">
        <f>HYPERLINK("https://drive.google.com/drive/folders/0BwQ57SNHxB3BUFZCYzVBQWZaVTA","3750")</f>
        <v>3750</v>
      </c>
      <c r="L45" s="125"/>
      <c r="M45" s="46"/>
      <c r="N45" s="126"/>
      <c r="O45" s="126"/>
      <c r="P45" s="126"/>
      <c r="Q45" s="126"/>
      <c r="R45" s="126"/>
      <c r="S45" s="126"/>
      <c r="T45" s="128">
        <v>15</v>
      </c>
      <c r="U45" s="128">
        <f t="shared" si="6"/>
        <v>2566</v>
      </c>
      <c r="V45" s="129" t="str">
        <f t="shared" si="5"/>
        <v>37</v>
      </c>
      <c r="W45" s="121">
        <f>COUNTIF('สำเนาของ 52-62 (สำหรับ จก.ตรวจเ'!$V$4:$V$286,V45)-1</f>
        <v>6</v>
      </c>
      <c r="X45" s="121"/>
      <c r="Y45" s="121"/>
      <c r="Z45" s="121"/>
      <c r="AA45" s="121"/>
    </row>
    <row r="46" spans="1:27" ht="18.75">
      <c r="A46" s="88"/>
      <c r="B46" s="121">
        <v>3750</v>
      </c>
      <c r="C46" s="121" t="s">
        <v>256</v>
      </c>
      <c r="D46" s="88" t="s">
        <v>319</v>
      </c>
      <c r="E46" s="121">
        <v>58</v>
      </c>
      <c r="F46" s="46" t="s">
        <v>320</v>
      </c>
      <c r="G46" s="26" t="s">
        <v>78</v>
      </c>
      <c r="H46" s="122">
        <v>180000</v>
      </c>
      <c r="I46" s="123"/>
      <c r="J46" s="130" t="str">
        <f>HYPERLINK("https://drive.google.com/open?id=0B2vBTVEfSzItRjBoaWdNb3JlbW8","3750")</f>
        <v>3750</v>
      </c>
      <c r="K46" s="132" t="str">
        <f>HYPERLINK("https://drive.google.com/drive/folders/0BwQ57SNHxB3BUFZCYzVBQWZaVTA","3750")</f>
        <v>3750</v>
      </c>
      <c r="L46" s="125"/>
      <c r="M46" s="46"/>
      <c r="N46" s="126"/>
      <c r="O46" s="126"/>
      <c r="P46" s="126"/>
      <c r="Q46" s="126"/>
      <c r="R46" s="126"/>
      <c r="S46" s="126"/>
      <c r="T46" s="128">
        <v>15</v>
      </c>
      <c r="U46" s="128">
        <f t="shared" si="6"/>
        <v>2571</v>
      </c>
      <c r="V46" s="129" t="str">
        <f t="shared" si="5"/>
        <v>37</v>
      </c>
      <c r="W46" s="121">
        <f>COUNTIF($V$4:$V$286,V46)-1</f>
        <v>6</v>
      </c>
      <c r="X46" s="121"/>
      <c r="Y46" s="121"/>
      <c r="Z46" s="121"/>
      <c r="AA46" s="121"/>
    </row>
    <row r="47" spans="1:27" ht="18.75">
      <c r="A47" s="88"/>
      <c r="B47" s="121">
        <v>3750</v>
      </c>
      <c r="C47" s="121" t="s">
        <v>63</v>
      </c>
      <c r="D47" s="88" t="s">
        <v>325</v>
      </c>
      <c r="E47" s="121">
        <v>55</v>
      </c>
      <c r="F47" s="46" t="s">
        <v>326</v>
      </c>
      <c r="G47" s="26" t="s">
        <v>53</v>
      </c>
      <c r="H47" s="122">
        <v>750000</v>
      </c>
      <c r="I47" s="123"/>
      <c r="J47" s="130" t="str">
        <f>HYPERLINK("https://drive.google.com/open?id=0B2rLR4BADrBtQWpSdUx2a0oxczg","3750")</f>
        <v>3750</v>
      </c>
      <c r="K47" s="132" t="str">
        <f>HYPERLINK("https://drive.google.com/drive/folders/0BwQ57SNHxB3BUFZCYzVBQWZaVTA","3750")</f>
        <v>3750</v>
      </c>
      <c r="L47" s="125"/>
      <c r="M47" s="46"/>
      <c r="N47" s="126"/>
      <c r="O47" s="126"/>
      <c r="P47" s="126"/>
      <c r="Q47" s="126"/>
      <c r="R47" s="126"/>
      <c r="S47" s="126"/>
      <c r="T47" s="128">
        <v>15</v>
      </c>
      <c r="U47" s="128">
        <f t="shared" si="6"/>
        <v>2568</v>
      </c>
      <c r="V47" s="129" t="str">
        <f t="shared" si="5"/>
        <v>37</v>
      </c>
      <c r="W47" s="121">
        <f>COUNTIF($V$4:$V$286,V47)-1</f>
        <v>6</v>
      </c>
      <c r="X47" s="121"/>
      <c r="Y47" s="121"/>
      <c r="Z47" s="121"/>
      <c r="AA47" s="121"/>
    </row>
    <row r="48" spans="1:27" ht="18.75">
      <c r="A48" s="117"/>
      <c r="B48" s="117">
        <v>3800</v>
      </c>
      <c r="C48" s="118"/>
      <c r="D48" s="117" t="str">
        <f>"พัสดุ"&amp; VLOOKUP(V48,'เลขSpec.2 ตัวแรก'!$A$2:$B$100,2,FALSE)&amp; " จำนวน "&amp;W48&amp;" รายการ"</f>
        <v>พัสดุหมวด 38 บริภัณฑ์การก่อสร้าง การทำเหมืองแร่ การขุดและการซ่อมบำรุงถนน จำนวน 11 รายการ</v>
      </c>
      <c r="E48" s="117"/>
      <c r="F48" s="117"/>
      <c r="G48" s="117"/>
      <c r="H48" s="117"/>
      <c r="I48" s="119"/>
      <c r="J48" s="119"/>
      <c r="K48" s="119"/>
      <c r="L48" s="117"/>
      <c r="M48" s="117"/>
      <c r="N48" s="117"/>
      <c r="O48" s="118"/>
      <c r="P48" s="117"/>
      <c r="Q48" s="117"/>
      <c r="R48" s="117"/>
      <c r="S48" s="117"/>
      <c r="T48" s="117"/>
      <c r="U48" s="119"/>
      <c r="V48" s="119" t="str">
        <f t="shared" si="5"/>
        <v>38</v>
      </c>
      <c r="W48" s="119">
        <f>COUNTIF($V$2:$V$286,V48)-1</f>
        <v>11</v>
      </c>
      <c r="X48" s="117"/>
      <c r="Y48" s="121"/>
      <c r="Z48" s="121"/>
      <c r="AA48" s="121"/>
    </row>
    <row r="49" spans="1:27" ht="18.75">
      <c r="A49" s="88"/>
      <c r="B49" s="121">
        <v>3805</v>
      </c>
      <c r="C49" s="121" t="s">
        <v>63</v>
      </c>
      <c r="D49" s="88" t="s">
        <v>340</v>
      </c>
      <c r="E49" s="121">
        <v>60</v>
      </c>
      <c r="F49" s="46" t="s">
        <v>341</v>
      </c>
      <c r="G49" s="26" t="s">
        <v>28</v>
      </c>
      <c r="H49" s="122">
        <v>2500000</v>
      </c>
      <c r="I49" s="123"/>
      <c r="J49" s="130" t="str">
        <f>HYPERLINK("https://drive.google.com/open?id=0B2vBTVEfSzItS21fd2RzWFAxZE0","3805")</f>
        <v>3805</v>
      </c>
      <c r="K49" s="125"/>
      <c r="L49" s="125"/>
      <c r="M49" s="46"/>
      <c r="N49" s="126"/>
      <c r="O49" s="126"/>
      <c r="P49" s="126"/>
      <c r="Q49" s="126"/>
      <c r="R49" s="126"/>
      <c r="S49" s="126"/>
      <c r="T49" s="128"/>
      <c r="U49" s="128">
        <f>E49+T49-2+2500</f>
        <v>2558</v>
      </c>
      <c r="V49" s="129" t="str">
        <f t="shared" si="5"/>
        <v>38</v>
      </c>
      <c r="W49" s="121">
        <f>COUNTIF($V$4:$V$286,V49)-1</f>
        <v>11</v>
      </c>
      <c r="X49" s="121"/>
      <c r="Y49" s="121"/>
      <c r="Z49" s="121"/>
      <c r="AA49" s="121"/>
    </row>
    <row r="50" spans="1:27" ht="18.75">
      <c r="A50" s="88"/>
      <c r="B50" s="121">
        <v>3805</v>
      </c>
      <c r="C50" s="121" t="s">
        <v>63</v>
      </c>
      <c r="D50" s="88" t="s">
        <v>350</v>
      </c>
      <c r="E50" s="121">
        <v>57</v>
      </c>
      <c r="F50" s="46" t="s">
        <v>351</v>
      </c>
      <c r="G50" s="26" t="s">
        <v>28</v>
      </c>
      <c r="H50" s="122">
        <v>5000000</v>
      </c>
      <c r="I50" s="123"/>
      <c r="J50" s="130" t="str">
        <f>HYPERLINK("https://drive.google.com/open?id=0B2rLR4BADrBtNTFZWkdGaWZYWG8","3805")</f>
        <v>3805</v>
      </c>
      <c r="K50" s="132" t="str">
        <f>HYPERLINK("https://drive.google.com/drive/folders/0BwQ57SNHxB3BcU81M201Vm9ZdkU","3805")</f>
        <v>3805</v>
      </c>
      <c r="L50" s="125"/>
      <c r="M50" s="46"/>
      <c r="N50" s="126"/>
      <c r="O50" s="126"/>
      <c r="P50" s="126"/>
      <c r="Q50" s="126"/>
      <c r="R50" s="126"/>
      <c r="S50" s="126"/>
      <c r="T50" s="128">
        <v>20</v>
      </c>
      <c r="U50" s="128">
        <f>E50+T50-2+2500</f>
        <v>2575</v>
      </c>
      <c r="V50" s="129" t="str">
        <f t="shared" si="5"/>
        <v>38</v>
      </c>
      <c r="W50" s="121">
        <f>COUNTIF($V$4:$V$286,V50)-1</f>
        <v>11</v>
      </c>
      <c r="X50" s="121"/>
      <c r="Y50" s="121"/>
      <c r="Z50" s="121"/>
      <c r="AA50" s="121"/>
    </row>
    <row r="51" spans="1:27" ht="18.75">
      <c r="A51" s="88"/>
      <c r="B51" s="121">
        <v>3805</v>
      </c>
      <c r="C51" s="121" t="s">
        <v>63</v>
      </c>
      <c r="D51" s="88" t="s">
        <v>359</v>
      </c>
      <c r="E51" s="121">
        <v>59</v>
      </c>
      <c r="F51" s="46" t="s">
        <v>360</v>
      </c>
      <c r="G51" s="26" t="s">
        <v>28</v>
      </c>
      <c r="H51" s="122">
        <v>4500000</v>
      </c>
      <c r="I51" s="123"/>
      <c r="J51" s="130" t="str">
        <f>HYPERLINK("https://drive.google.com/open?id=0B2vBTVEfSzItME90d1dqTjBGZGs","3805")</f>
        <v>3805</v>
      </c>
      <c r="K51" s="132" t="str">
        <f>HYPERLINK("https://drive.google.com/drive/folders/0BwQ57SNHxB3BcU81M201Vm9ZdkU","3805")</f>
        <v>3805</v>
      </c>
      <c r="L51" s="125"/>
      <c r="M51" s="46"/>
      <c r="N51" s="126"/>
      <c r="O51" s="126"/>
      <c r="P51" s="126"/>
      <c r="Q51" s="126"/>
      <c r="R51" s="126"/>
      <c r="S51" s="126"/>
      <c r="T51" s="128"/>
      <c r="U51" s="128">
        <f>E51+T51-2+2500</f>
        <v>2557</v>
      </c>
      <c r="V51" s="129" t="str">
        <f t="shared" si="5"/>
        <v>38</v>
      </c>
      <c r="W51" s="121">
        <f>COUNTIF($V$4:$V$286,V51)-1</f>
        <v>11</v>
      </c>
      <c r="X51" s="121"/>
      <c r="Y51" s="121"/>
      <c r="Z51" s="121"/>
      <c r="AA51" s="121"/>
    </row>
    <row r="52" spans="1:27" ht="18.75">
      <c r="A52" s="88"/>
      <c r="B52" s="121">
        <v>3805</v>
      </c>
      <c r="C52" s="121" t="s">
        <v>63</v>
      </c>
      <c r="D52" s="88" t="s">
        <v>365</v>
      </c>
      <c r="E52" s="121">
        <v>62</v>
      </c>
      <c r="F52" s="46" t="s">
        <v>366</v>
      </c>
      <c r="G52" s="26" t="s">
        <v>367</v>
      </c>
      <c r="H52" s="122">
        <v>3800000</v>
      </c>
      <c r="I52" s="123"/>
      <c r="J52" s="130" t="str">
        <f>HYPERLINK("https://drive.google.com/open?id=1zXwF20wl-SN960KREf7OXsDJIuaLLZft","3805")</f>
        <v>3805</v>
      </c>
      <c r="K52" s="125"/>
      <c r="L52" s="125"/>
      <c r="M52" s="46"/>
      <c r="N52" s="126"/>
      <c r="O52" s="126"/>
      <c r="P52" s="126"/>
      <c r="Q52" s="126"/>
      <c r="R52" s="126"/>
      <c r="S52" s="126"/>
      <c r="T52" s="128"/>
      <c r="U52" s="128"/>
      <c r="V52" s="129"/>
      <c r="W52" s="121"/>
      <c r="X52" s="121"/>
      <c r="Y52" s="121"/>
      <c r="Z52" s="121"/>
      <c r="AA52" s="121"/>
    </row>
    <row r="53" spans="1:27" ht="18.75">
      <c r="A53" s="88"/>
      <c r="B53" s="121">
        <v>3820</v>
      </c>
      <c r="C53" s="121" t="s">
        <v>372</v>
      </c>
      <c r="D53" s="88" t="s">
        <v>375</v>
      </c>
      <c r="E53" s="121">
        <v>61</v>
      </c>
      <c r="F53" s="46" t="s">
        <v>376</v>
      </c>
      <c r="G53" s="26" t="s">
        <v>78</v>
      </c>
      <c r="H53" s="122">
        <v>580000</v>
      </c>
      <c r="I53" s="123"/>
      <c r="J53" s="130" t="str">
        <f>HYPERLINK("https://drive.google.com/open?id=15-mxRv1y2zplmLe4T-7mwa6EEhTKUkJH","3820")</f>
        <v>3820</v>
      </c>
      <c r="K53" s="132" t="str">
        <f>HYPERLINK("https://drive.google.com/drive/folders/0BwQ57SNHxB3BeURHU09mWUJ0NEk","3820")</f>
        <v>3820</v>
      </c>
      <c r="L53" s="88" t="s">
        <v>379</v>
      </c>
      <c r="M53" s="46"/>
      <c r="N53" s="126"/>
      <c r="O53" s="126"/>
      <c r="P53" s="126"/>
      <c r="Q53" s="126"/>
      <c r="R53" s="126"/>
      <c r="S53" s="126"/>
      <c r="T53" s="128">
        <v>20</v>
      </c>
      <c r="U53" s="128">
        <f>E53+T53-2+2500</f>
        <v>2579</v>
      </c>
      <c r="V53" s="129" t="str">
        <f t="shared" ref="V53:V68" si="7">LEFT(B53, SEARCH("",B53,2))</f>
        <v>38</v>
      </c>
      <c r="W53" s="121">
        <f>COUNTIF($V$4:$V$286,V53)-1</f>
        <v>11</v>
      </c>
      <c r="X53" s="121" t="s">
        <v>384</v>
      </c>
      <c r="Y53" s="121"/>
      <c r="Z53" s="121"/>
      <c r="AA53" s="121"/>
    </row>
    <row r="54" spans="1:27" ht="18.75">
      <c r="A54" s="88"/>
      <c r="B54" s="121">
        <v>3820</v>
      </c>
      <c r="C54" s="121" t="s">
        <v>372</v>
      </c>
      <c r="D54" s="88" t="s">
        <v>387</v>
      </c>
      <c r="E54" s="121">
        <v>61</v>
      </c>
      <c r="F54" s="46" t="s">
        <v>388</v>
      </c>
      <c r="G54" s="26" t="s">
        <v>78</v>
      </c>
      <c r="H54" s="122">
        <v>80000</v>
      </c>
      <c r="I54" s="123"/>
      <c r="J54" s="130" t="str">
        <f>HYPERLINK("https://drive.google.com/open?id=1d1I73QWQZAVKyaSh47jcDxJteIoD6Wj9","3820")</f>
        <v>3820</v>
      </c>
      <c r="K54" s="125"/>
      <c r="L54" s="88" t="s">
        <v>390</v>
      </c>
      <c r="M54" s="46"/>
      <c r="N54" s="126"/>
      <c r="O54" s="126"/>
      <c r="P54" s="126"/>
      <c r="Q54" s="126"/>
      <c r="R54" s="126"/>
      <c r="S54" s="126"/>
      <c r="T54" s="128"/>
      <c r="U54" s="128"/>
      <c r="V54" s="129" t="str">
        <f t="shared" si="7"/>
        <v>38</v>
      </c>
      <c r="W54" s="121">
        <f>COUNTIF($V$4:$V$286,V54)-1</f>
        <v>11</v>
      </c>
      <c r="X54" s="121" t="s">
        <v>384</v>
      </c>
      <c r="Y54" s="121"/>
      <c r="Z54" s="121"/>
      <c r="AA54" s="121"/>
    </row>
    <row r="55" spans="1:27" ht="18.75">
      <c r="A55" s="88"/>
      <c r="B55" s="121">
        <v>3820</v>
      </c>
      <c r="C55" s="121" t="s">
        <v>372</v>
      </c>
      <c r="D55" s="88" t="s">
        <v>392</v>
      </c>
      <c r="E55" s="121">
        <v>55</v>
      </c>
      <c r="F55" s="46" t="s">
        <v>393</v>
      </c>
      <c r="G55" s="26" t="s">
        <v>78</v>
      </c>
      <c r="H55" s="122">
        <v>300000</v>
      </c>
      <c r="I55" s="123"/>
      <c r="J55" s="130" t="str">
        <f>HYPERLINK("https://drive.google.com/open?id=0B2rLR4BADrBtZEFsa19hY1Z5eW8","3820")</f>
        <v>3820</v>
      </c>
      <c r="K55" s="132" t="str">
        <f>HYPERLINK("https://drive.google.com/drive/folders/0BwQ57SNHxB3BeURHU09mWUJ0NEk","3820")</f>
        <v>3820</v>
      </c>
      <c r="L55" s="88" t="s">
        <v>398</v>
      </c>
      <c r="M55" s="46"/>
      <c r="N55" s="126"/>
      <c r="O55" s="126"/>
      <c r="P55" s="126"/>
      <c r="Q55" s="126"/>
      <c r="R55" s="126"/>
      <c r="S55" s="126"/>
      <c r="T55" s="128">
        <v>20</v>
      </c>
      <c r="U55" s="128">
        <f t="shared" ref="U55:U60" si="8">E55+T55-2+2500</f>
        <v>2573</v>
      </c>
      <c r="V55" s="129" t="str">
        <f t="shared" si="7"/>
        <v>38</v>
      </c>
      <c r="W55" s="121">
        <f>COUNTIF('สำเนาของ 52-62 (สำหรับ จก.ตรวจเ'!$V$4:$V$286,V55)-1</f>
        <v>11</v>
      </c>
      <c r="X55" s="121" t="s">
        <v>384</v>
      </c>
      <c r="Y55" s="121"/>
      <c r="Z55" s="121"/>
      <c r="AA55" s="121"/>
    </row>
    <row r="56" spans="1:27" ht="18.75">
      <c r="A56" s="88"/>
      <c r="B56" s="121">
        <v>3825</v>
      </c>
      <c r="C56" s="121" t="s">
        <v>63</v>
      </c>
      <c r="D56" s="88" t="s">
        <v>401</v>
      </c>
      <c r="E56" s="121">
        <v>53</v>
      </c>
      <c r="F56" s="46" t="s">
        <v>403</v>
      </c>
      <c r="G56" s="26" t="s">
        <v>78</v>
      </c>
      <c r="H56" s="122">
        <v>270000</v>
      </c>
      <c r="I56" s="123"/>
      <c r="J56" s="130" t="str">
        <f>HYPERLINK("https://drive.google.com/open?id=0B2rLR4BADrBtQjRKUG9qdDJFUWc","3825")</f>
        <v>3825</v>
      </c>
      <c r="K56" s="132" t="str">
        <f>HYPERLINK("https://drive.google.com/drive/folders/0BwQ57SNHxB3BVGpIdG9kem1lVGc","3825")</f>
        <v>3825</v>
      </c>
      <c r="L56" s="125"/>
      <c r="M56" s="46"/>
      <c r="N56" s="126"/>
      <c r="O56" s="126"/>
      <c r="P56" s="126"/>
      <c r="Q56" s="126"/>
      <c r="R56" s="126"/>
      <c r="S56" s="126"/>
      <c r="T56" s="128">
        <v>20</v>
      </c>
      <c r="U56" s="128">
        <f t="shared" si="8"/>
        <v>2571</v>
      </c>
      <c r="V56" s="129" t="str">
        <f t="shared" si="7"/>
        <v>38</v>
      </c>
      <c r="W56" s="121">
        <f>COUNTIF('สำเนาของ 52-62 (สำหรับ จก.ตรวจเ'!$V$4:$V$286,V56)-1</f>
        <v>11</v>
      </c>
      <c r="X56" s="121"/>
      <c r="Y56" s="121"/>
      <c r="Z56" s="121"/>
      <c r="AA56" s="121"/>
    </row>
    <row r="57" spans="1:27" ht="18.75">
      <c r="A57" s="88"/>
      <c r="B57" s="121">
        <v>3825</v>
      </c>
      <c r="C57" s="121" t="s">
        <v>63</v>
      </c>
      <c r="D57" s="88" t="s">
        <v>412</v>
      </c>
      <c r="E57" s="121">
        <v>59</v>
      </c>
      <c r="F57" s="46" t="s">
        <v>413</v>
      </c>
      <c r="G57" s="26" t="s">
        <v>28</v>
      </c>
      <c r="H57" s="122">
        <v>15500000</v>
      </c>
      <c r="I57" s="123"/>
      <c r="J57" s="130" t="str">
        <f>HYPERLINK("https://drive.google.com/open?id=0B2vBTVEfSzItV3YyYzEtOFBMY2c","3825")</f>
        <v>3825</v>
      </c>
      <c r="K57" s="125"/>
      <c r="L57" s="88" t="s">
        <v>414</v>
      </c>
      <c r="M57" s="136"/>
      <c r="N57" s="126"/>
      <c r="O57" s="126"/>
      <c r="P57" s="126"/>
      <c r="Q57" s="126"/>
      <c r="R57" s="126"/>
      <c r="S57" s="126"/>
      <c r="T57" s="128"/>
      <c r="U57" s="128">
        <f t="shared" si="8"/>
        <v>2557</v>
      </c>
      <c r="V57" s="129" t="str">
        <f t="shared" si="7"/>
        <v>38</v>
      </c>
      <c r="W57" s="121">
        <f>COUNTIF($V$4:$V$286,V57)-1</f>
        <v>11</v>
      </c>
      <c r="X57" s="121"/>
      <c r="Y57" s="121"/>
      <c r="Z57" s="121"/>
      <c r="AA57" s="121"/>
    </row>
    <row r="58" spans="1:27" ht="18.75">
      <c r="A58" s="88"/>
      <c r="B58" s="121">
        <v>3825</v>
      </c>
      <c r="C58" s="121" t="s">
        <v>63</v>
      </c>
      <c r="D58" s="88" t="s">
        <v>417</v>
      </c>
      <c r="E58" s="121">
        <v>56</v>
      </c>
      <c r="F58" s="46" t="s">
        <v>418</v>
      </c>
      <c r="G58" s="26" t="s">
        <v>28</v>
      </c>
      <c r="H58" s="122">
        <v>345000</v>
      </c>
      <c r="I58" s="123"/>
      <c r="J58" s="130" t="str">
        <f>HYPERLINK("https://drive.google.com/open?id=0B2rLR4BADrBtNVRTTzRMUVdvZkU","3825")</f>
        <v>3825</v>
      </c>
      <c r="K58" s="132" t="str">
        <f>HYPERLINK("https://drive.google.com/drive/folders/0BwQ57SNHxB3BVGpIdG9kem1lVGc","3825")</f>
        <v>3825</v>
      </c>
      <c r="L58" s="125"/>
      <c r="M58" s="46"/>
      <c r="N58" s="126"/>
      <c r="O58" s="126"/>
      <c r="P58" s="126"/>
      <c r="Q58" s="126"/>
      <c r="R58" s="126"/>
      <c r="S58" s="126"/>
      <c r="T58" s="128">
        <v>20</v>
      </c>
      <c r="U58" s="128">
        <f t="shared" si="8"/>
        <v>2574</v>
      </c>
      <c r="V58" s="129" t="str">
        <f t="shared" si="7"/>
        <v>38</v>
      </c>
      <c r="W58" s="121">
        <f>COUNTIF($V$4:$V$286,V58)-1</f>
        <v>11</v>
      </c>
      <c r="X58" s="121"/>
      <c r="Y58" s="121"/>
      <c r="Z58" s="121"/>
      <c r="AA58" s="121"/>
    </row>
    <row r="59" spans="1:27" ht="18.75">
      <c r="A59" s="88"/>
      <c r="B59" s="121">
        <v>3825</v>
      </c>
      <c r="C59" s="121" t="s">
        <v>63</v>
      </c>
      <c r="D59" s="88" t="s">
        <v>429</v>
      </c>
      <c r="E59" s="121">
        <v>54</v>
      </c>
      <c r="F59" s="46" t="s">
        <v>430</v>
      </c>
      <c r="G59" s="26" t="s">
        <v>28</v>
      </c>
      <c r="H59" s="122">
        <v>2400000</v>
      </c>
      <c r="I59" s="123"/>
      <c r="J59" s="130" t="str">
        <f>HYPERLINK("https://drive.google.com/open?id=0B2rLR4BADrBtTWpnel9UYU5ma1U","3825")</f>
        <v>3825</v>
      </c>
      <c r="K59" s="132" t="str">
        <f>HYPERLINK("https://drive.google.com/drive/folders/0BwQ57SNHxB3BVGpIdG9kem1lVGc","3825")</f>
        <v>3825</v>
      </c>
      <c r="L59" s="125"/>
      <c r="M59" s="46"/>
      <c r="N59" s="126"/>
      <c r="O59" s="126"/>
      <c r="P59" s="126"/>
      <c r="Q59" s="126"/>
      <c r="R59" s="126"/>
      <c r="S59" s="126"/>
      <c r="T59" s="128">
        <v>20</v>
      </c>
      <c r="U59" s="128">
        <f t="shared" si="8"/>
        <v>2572</v>
      </c>
      <c r="V59" s="129" t="str">
        <f t="shared" si="7"/>
        <v>38</v>
      </c>
      <c r="W59" s="121">
        <f>COUNTIF($V$4:$V$286,V59)-1</f>
        <v>11</v>
      </c>
      <c r="X59" s="121"/>
      <c r="Y59" s="121"/>
      <c r="Z59" s="121"/>
      <c r="AA59" s="121"/>
    </row>
    <row r="60" spans="1:27" ht="18.75">
      <c r="A60" s="88"/>
      <c r="B60" s="121">
        <v>3895</v>
      </c>
      <c r="C60" s="121" t="s">
        <v>191</v>
      </c>
      <c r="D60" s="88" t="s">
        <v>434</v>
      </c>
      <c r="E60" s="121">
        <v>55</v>
      </c>
      <c r="F60" s="46" t="s">
        <v>435</v>
      </c>
      <c r="G60" s="26" t="s">
        <v>78</v>
      </c>
      <c r="H60" s="122">
        <v>300000</v>
      </c>
      <c r="I60" s="123"/>
      <c r="J60" s="130" t="str">
        <f>HYPERLINK("https://drive.google.com/open?id=0B2rLR4BADrBtZTZiMl82NTRDdVU","3895")</f>
        <v>3895</v>
      </c>
      <c r="K60" s="132" t="str">
        <f>HYPERLINK("https://drive.google.com/drive/folders/0BwQ57SNHxB3BWEtyNkZyTzdPNXM","3895")</f>
        <v>3895</v>
      </c>
      <c r="L60" s="125"/>
      <c r="M60" s="46"/>
      <c r="N60" s="126"/>
      <c r="O60" s="126"/>
      <c r="P60" s="126"/>
      <c r="Q60" s="126"/>
      <c r="R60" s="126"/>
      <c r="S60" s="126"/>
      <c r="T60" s="128">
        <v>20</v>
      </c>
      <c r="U60" s="128">
        <f t="shared" si="8"/>
        <v>2573</v>
      </c>
      <c r="V60" s="129" t="str">
        <f t="shared" si="7"/>
        <v>38</v>
      </c>
      <c r="W60" s="121">
        <f>COUNTIF('สำเนาของ 52-62 (สำหรับ จก.ตรวจเ'!$V$4:$V$286,V60)-1</f>
        <v>11</v>
      </c>
      <c r="X60" s="121"/>
      <c r="Y60" s="121"/>
      <c r="Z60" s="121"/>
      <c r="AA60" s="121"/>
    </row>
    <row r="61" spans="1:27" ht="18.75">
      <c r="A61" s="117"/>
      <c r="B61" s="118">
        <v>3900</v>
      </c>
      <c r="C61" s="117"/>
      <c r="D61" s="117" t="str">
        <f>"พัสดุ"&amp; VLOOKUP(V61,'เลขSpec.2 ตัวแรก'!$A$2:$B$100,2,FALSE)&amp; " จำนวน "&amp;W61&amp;" รายการ"</f>
        <v>พัสดุหมวด 39 บริภัณฑ์ยกย้ายพัสดุ จำนวน 15 รายการ</v>
      </c>
      <c r="E61" s="117"/>
      <c r="F61" s="117"/>
      <c r="G61" s="117"/>
      <c r="H61" s="119"/>
      <c r="I61" s="119"/>
      <c r="J61" s="119"/>
      <c r="K61" s="117"/>
      <c r="L61" s="117"/>
      <c r="M61" s="117"/>
      <c r="N61" s="118"/>
      <c r="O61" s="117"/>
      <c r="P61" s="117"/>
      <c r="Q61" s="117"/>
      <c r="R61" s="117"/>
      <c r="S61" s="117"/>
      <c r="T61" s="119"/>
      <c r="U61" s="119"/>
      <c r="V61" s="119" t="str">
        <f t="shared" si="7"/>
        <v>39</v>
      </c>
      <c r="W61" s="117">
        <f>COUNTIF($V$2:$V$286,V61)-1</f>
        <v>15</v>
      </c>
      <c r="X61" s="117"/>
      <c r="Y61" s="121"/>
      <c r="Z61" s="121"/>
      <c r="AA61" s="121"/>
    </row>
    <row r="62" spans="1:27" ht="18.75">
      <c r="A62" s="88"/>
      <c r="B62" s="121">
        <v>3930</v>
      </c>
      <c r="C62" s="121" t="s">
        <v>63</v>
      </c>
      <c r="D62" s="88" t="s">
        <v>450</v>
      </c>
      <c r="E62" s="121">
        <v>58</v>
      </c>
      <c r="F62" s="46" t="s">
        <v>451</v>
      </c>
      <c r="G62" s="26" t="s">
        <v>28</v>
      </c>
      <c r="H62" s="122">
        <f>7245000/7</f>
        <v>1035000</v>
      </c>
      <c r="I62" s="123"/>
      <c r="J62" s="130" t="str">
        <f>HYPERLINK("https://drive.google.com/open?id=0B2vBTVEfSzItQ2c0amNlOG5MbFU","3930")</f>
        <v>3930</v>
      </c>
      <c r="K62" s="133" t="str">
        <f>HYPERLINK("https://drive.google.com/drive/folders/0BwQ57SNHxB3BeGVndk5nUS1tN3c","3930")</f>
        <v>3930</v>
      </c>
      <c r="L62" s="134"/>
      <c r="M62" s="46"/>
      <c r="N62" s="126"/>
      <c r="O62" s="126"/>
      <c r="P62" s="126"/>
      <c r="Q62" s="126"/>
      <c r="R62" s="126"/>
      <c r="S62" s="126"/>
      <c r="T62" s="128"/>
      <c r="U62" s="128">
        <f t="shared" ref="U62:U68" si="9">E62+T62-2+2500</f>
        <v>2556</v>
      </c>
      <c r="V62" s="129" t="str">
        <f t="shared" si="7"/>
        <v>39</v>
      </c>
      <c r="W62" s="121">
        <f t="shared" ref="W62:W68" si="10">COUNTIF($V$4:$V$286,V62)-1</f>
        <v>15</v>
      </c>
      <c r="X62" s="121"/>
      <c r="Y62" s="121"/>
      <c r="Z62" s="121"/>
      <c r="AA62" s="121"/>
    </row>
    <row r="63" spans="1:27" ht="18.75">
      <c r="A63" s="88"/>
      <c r="B63" s="121">
        <v>3930</v>
      </c>
      <c r="C63" s="121" t="s">
        <v>63</v>
      </c>
      <c r="D63" s="88" t="s">
        <v>458</v>
      </c>
      <c r="E63" s="121">
        <v>57</v>
      </c>
      <c r="F63" s="46" t="s">
        <v>459</v>
      </c>
      <c r="G63" s="26" t="s">
        <v>28</v>
      </c>
      <c r="H63" s="122">
        <v>200000</v>
      </c>
      <c r="I63" s="123"/>
      <c r="J63" s="130" t="str">
        <f>HYPERLINK("https://drive.google.com/open?id=0B2rLR4BADrBtV2ZDSkxWaGFkWTA","3930")</f>
        <v>3930</v>
      </c>
      <c r="K63" s="133" t="str">
        <f>HYPERLINK("https://drive.google.com/drive/folders/0BwQ57SNHxB3BeGVndk5nUS1tN3c","3930")</f>
        <v>3930</v>
      </c>
      <c r="L63" s="134"/>
      <c r="M63" s="46"/>
      <c r="N63" s="126"/>
      <c r="O63" s="126"/>
      <c r="P63" s="126"/>
      <c r="Q63" s="126"/>
      <c r="R63" s="126"/>
      <c r="S63" s="126"/>
      <c r="T63" s="128">
        <v>20</v>
      </c>
      <c r="U63" s="128">
        <f t="shared" si="9"/>
        <v>2575</v>
      </c>
      <c r="V63" s="129" t="str">
        <f t="shared" si="7"/>
        <v>39</v>
      </c>
      <c r="W63" s="121">
        <f t="shared" si="10"/>
        <v>15</v>
      </c>
      <c r="X63" s="121"/>
      <c r="Y63" s="121"/>
      <c r="Z63" s="121"/>
      <c r="AA63" s="121"/>
    </row>
    <row r="64" spans="1:27" ht="18.75">
      <c r="A64" s="88"/>
      <c r="B64" s="121">
        <v>3930</v>
      </c>
      <c r="C64" s="121" t="s">
        <v>63</v>
      </c>
      <c r="D64" s="88" t="s">
        <v>466</v>
      </c>
      <c r="E64" s="121">
        <v>60</v>
      </c>
      <c r="F64" s="46" t="s">
        <v>467</v>
      </c>
      <c r="G64" s="26" t="s">
        <v>28</v>
      </c>
      <c r="H64" s="122">
        <v>1800000</v>
      </c>
      <c r="I64" s="123"/>
      <c r="J64" s="130" t="str">
        <f>HYPERLINK("https://drive.google.com/open?id=0B2vBTVEfSzItRVVIbzQ5M0dzM0k","3930")</f>
        <v>3930</v>
      </c>
      <c r="K64" s="134"/>
      <c r="L64" s="134"/>
      <c r="M64" s="46"/>
      <c r="N64" s="126"/>
      <c r="O64" s="126"/>
      <c r="P64" s="126"/>
      <c r="Q64" s="126"/>
      <c r="R64" s="126"/>
      <c r="S64" s="126"/>
      <c r="T64" s="128"/>
      <c r="U64" s="128">
        <f t="shared" si="9"/>
        <v>2558</v>
      </c>
      <c r="V64" s="129" t="str">
        <f t="shared" si="7"/>
        <v>39</v>
      </c>
      <c r="W64" s="121">
        <f t="shared" si="10"/>
        <v>15</v>
      </c>
      <c r="X64" s="121"/>
      <c r="Y64" s="121"/>
      <c r="Z64" s="121"/>
      <c r="AA64" s="121"/>
    </row>
    <row r="65" spans="1:27" ht="18.75">
      <c r="A65" s="88"/>
      <c r="B65" s="121">
        <v>3930</v>
      </c>
      <c r="C65" s="121" t="s">
        <v>63</v>
      </c>
      <c r="D65" s="88" t="s">
        <v>471</v>
      </c>
      <c r="E65" s="121">
        <v>59</v>
      </c>
      <c r="F65" s="46" t="s">
        <v>473</v>
      </c>
      <c r="G65" s="26" t="s">
        <v>28</v>
      </c>
      <c r="H65" s="122">
        <v>760000</v>
      </c>
      <c r="I65" s="123"/>
      <c r="J65" s="130" t="str">
        <f>HYPERLINK("https://drive.google.com/open?id=0B2vBTVEfSzItNFJySE5nWmMySmM","3930")</f>
        <v>3930</v>
      </c>
      <c r="K65" s="134"/>
      <c r="L65" s="134"/>
      <c r="M65" s="46"/>
      <c r="N65" s="126"/>
      <c r="O65" s="126"/>
      <c r="P65" s="126"/>
      <c r="Q65" s="126"/>
      <c r="R65" s="126"/>
      <c r="S65" s="126"/>
      <c r="T65" s="128"/>
      <c r="U65" s="128">
        <f t="shared" si="9"/>
        <v>2557</v>
      </c>
      <c r="V65" s="129" t="str">
        <f t="shared" si="7"/>
        <v>39</v>
      </c>
      <c r="W65" s="121">
        <f t="shared" si="10"/>
        <v>15</v>
      </c>
      <c r="X65" s="121"/>
      <c r="Y65" s="121"/>
      <c r="Z65" s="121"/>
      <c r="AA65" s="121"/>
    </row>
    <row r="66" spans="1:27" ht="18.75">
      <c r="A66" s="88"/>
      <c r="B66" s="121">
        <v>3930</v>
      </c>
      <c r="C66" s="121" t="s">
        <v>63</v>
      </c>
      <c r="D66" s="88" t="s">
        <v>478</v>
      </c>
      <c r="E66" s="121">
        <v>57</v>
      </c>
      <c r="F66" s="46" t="s">
        <v>479</v>
      </c>
      <c r="G66" s="26" t="s">
        <v>28</v>
      </c>
      <c r="H66" s="122">
        <v>960000</v>
      </c>
      <c r="I66" s="123"/>
      <c r="J66" s="130" t="str">
        <f>HYPERLINK("https://drive.google.com/open?id=0B2rLR4BADrBtSkZxTG93ZHNhMk0","3930")</f>
        <v>3930</v>
      </c>
      <c r="K66" s="133" t="str">
        <f>HYPERLINK("https://drive.google.com/drive/folders/0BwQ57SNHxB3BeGVndk5nUS1tN3c","3930")</f>
        <v>3930</v>
      </c>
      <c r="L66" s="134"/>
      <c r="M66" s="46"/>
      <c r="N66" s="126"/>
      <c r="O66" s="126"/>
      <c r="P66" s="126"/>
      <c r="Q66" s="126"/>
      <c r="R66" s="126"/>
      <c r="S66" s="126"/>
      <c r="T66" s="128">
        <v>20</v>
      </c>
      <c r="U66" s="128">
        <f t="shared" si="9"/>
        <v>2575</v>
      </c>
      <c r="V66" s="129" t="str">
        <f t="shared" si="7"/>
        <v>39</v>
      </c>
      <c r="W66" s="121">
        <f t="shared" si="10"/>
        <v>15</v>
      </c>
      <c r="X66" s="121"/>
      <c r="Y66" s="121"/>
      <c r="Z66" s="121"/>
      <c r="AA66" s="121"/>
    </row>
    <row r="67" spans="1:27" ht="18.75">
      <c r="A67" s="88"/>
      <c r="B67" s="121">
        <v>3930</v>
      </c>
      <c r="C67" s="121" t="s">
        <v>63</v>
      </c>
      <c r="D67" s="88" t="s">
        <v>489</v>
      </c>
      <c r="E67" s="121">
        <v>58</v>
      </c>
      <c r="F67" s="46" t="s">
        <v>490</v>
      </c>
      <c r="G67" s="26" t="s">
        <v>28</v>
      </c>
      <c r="H67" s="122">
        <v>760000</v>
      </c>
      <c r="I67" s="123"/>
      <c r="J67" s="130" t="str">
        <f>HYPERLINK("https://drive.google.com/open?id=0B2vBTVEfSzItRktWemFjTzVfYkk","3930")</f>
        <v>3930</v>
      </c>
      <c r="K67" s="133" t="str">
        <f>HYPERLINK("https://drive.google.com/drive/folders/0BwQ57SNHxB3BeGVndk5nUS1tN3c","3930")</f>
        <v>3930</v>
      </c>
      <c r="L67" s="134"/>
      <c r="M67" s="46"/>
      <c r="N67" s="126"/>
      <c r="O67" s="126"/>
      <c r="P67" s="126"/>
      <c r="Q67" s="126"/>
      <c r="R67" s="126"/>
      <c r="S67" s="126"/>
      <c r="T67" s="128">
        <v>20</v>
      </c>
      <c r="U67" s="128">
        <f t="shared" si="9"/>
        <v>2576</v>
      </c>
      <c r="V67" s="129" t="str">
        <f t="shared" si="7"/>
        <v>39</v>
      </c>
      <c r="W67" s="121">
        <f t="shared" si="10"/>
        <v>15</v>
      </c>
      <c r="X67" s="121"/>
      <c r="Y67" s="121"/>
      <c r="Z67" s="121"/>
      <c r="AA67" s="121"/>
    </row>
    <row r="68" spans="1:27" ht="18.75">
      <c r="A68" s="88"/>
      <c r="B68" s="121">
        <v>3930</v>
      </c>
      <c r="C68" s="121" t="s">
        <v>63</v>
      </c>
      <c r="D68" s="88" t="s">
        <v>496</v>
      </c>
      <c r="E68" s="121">
        <v>54</v>
      </c>
      <c r="F68" s="46" t="s">
        <v>498</v>
      </c>
      <c r="G68" s="26" t="s">
        <v>28</v>
      </c>
      <c r="H68" s="122">
        <v>1200000</v>
      </c>
      <c r="I68" s="123"/>
      <c r="J68" s="130" t="str">
        <f>HYPERLINK("https://drive.google.com/open?id=0B2rLR4BADrBtbkk0NWpValV0Rnc","3930")</f>
        <v>3930</v>
      </c>
      <c r="K68" s="133" t="str">
        <f>HYPERLINK("https://drive.google.com/drive/folders/0BwQ57SNHxB3BeGVndk5nUS1tN3c","3930")</f>
        <v>3930</v>
      </c>
      <c r="L68" s="134"/>
      <c r="M68" s="46"/>
      <c r="N68" s="126"/>
      <c r="O68" s="126"/>
      <c r="P68" s="126"/>
      <c r="Q68" s="126"/>
      <c r="R68" s="126"/>
      <c r="S68" s="126"/>
      <c r="T68" s="128">
        <v>20</v>
      </c>
      <c r="U68" s="128">
        <f t="shared" si="9"/>
        <v>2572</v>
      </c>
      <c r="V68" s="129" t="str">
        <f t="shared" si="7"/>
        <v>39</v>
      </c>
      <c r="W68" s="121">
        <f t="shared" si="10"/>
        <v>15</v>
      </c>
      <c r="X68" s="121"/>
      <c r="Y68" s="121"/>
      <c r="Z68" s="121"/>
      <c r="AA68" s="121"/>
    </row>
    <row r="69" spans="1:27" ht="18.75">
      <c r="A69" s="88"/>
      <c r="B69" s="121">
        <v>3930</v>
      </c>
      <c r="C69" s="121" t="s">
        <v>157</v>
      </c>
      <c r="D69" s="88" t="s">
        <v>503</v>
      </c>
      <c r="E69" s="121">
        <v>62</v>
      </c>
      <c r="F69" s="46" t="s">
        <v>504</v>
      </c>
      <c r="G69" s="26" t="s">
        <v>28</v>
      </c>
      <c r="H69" s="122">
        <v>590000</v>
      </c>
      <c r="I69" s="123"/>
      <c r="J69" s="130" t="str">
        <f>HYPERLINK("https://drive.google.com/open?id=1c_0poDZCWGzYUoIJlUi7R8FWWSLCk5Ln","3930")</f>
        <v>3930</v>
      </c>
      <c r="K69" s="134"/>
      <c r="L69" s="134"/>
      <c r="M69" s="46"/>
      <c r="N69" s="126"/>
      <c r="O69" s="126"/>
      <c r="P69" s="126"/>
      <c r="Q69" s="126"/>
      <c r="R69" s="126"/>
      <c r="S69" s="126"/>
      <c r="T69" s="128"/>
      <c r="U69" s="128"/>
      <c r="V69" s="129"/>
      <c r="W69" s="121"/>
      <c r="X69" s="121"/>
      <c r="Y69" s="121"/>
      <c r="Z69" s="121"/>
      <c r="AA69" s="121"/>
    </row>
    <row r="70" spans="1:27" ht="18.75">
      <c r="A70" s="88"/>
      <c r="B70" s="121">
        <v>3930</v>
      </c>
      <c r="C70" s="121" t="s">
        <v>63</v>
      </c>
      <c r="D70" s="88" t="s">
        <v>511</v>
      </c>
      <c r="E70" s="121">
        <v>55</v>
      </c>
      <c r="F70" s="46" t="s">
        <v>512</v>
      </c>
      <c r="G70" s="26" t="s">
        <v>28</v>
      </c>
      <c r="H70" s="122">
        <v>1100000</v>
      </c>
      <c r="I70" s="123"/>
      <c r="J70" s="130" t="str">
        <f>HYPERLINK("https://drive.google.com/open?id=0B2rLR4BADrBtWkh0Uy04U05sVlU","3930")</f>
        <v>3930</v>
      </c>
      <c r="K70" s="133" t="str">
        <f>HYPERLINK("https://drive.google.com/drive/folders/0BwQ57SNHxB3BeGVndk5nUS1tN3c","3930")</f>
        <v>3930</v>
      </c>
      <c r="L70" s="134"/>
      <c r="M70" s="46"/>
      <c r="N70" s="126"/>
      <c r="O70" s="126"/>
      <c r="P70" s="126"/>
      <c r="Q70" s="126"/>
      <c r="R70" s="126"/>
      <c r="S70" s="126"/>
      <c r="T70" s="128">
        <v>20</v>
      </c>
      <c r="U70" s="128">
        <f t="shared" ref="U70:U77" si="11">E70+T70-2+2500</f>
        <v>2573</v>
      </c>
      <c r="V70" s="129" t="str">
        <f t="shared" ref="V70:V78" si="12">LEFT(B70, SEARCH("",B70,2))</f>
        <v>39</v>
      </c>
      <c r="W70" s="121">
        <f t="shared" ref="W70:W77" si="13">COUNTIF($V$4:$V$286,V70)-1</f>
        <v>15</v>
      </c>
      <c r="X70" s="121"/>
      <c r="Y70" s="121"/>
      <c r="Z70" s="121"/>
      <c r="AA70" s="121"/>
    </row>
    <row r="71" spans="1:27" ht="37.5">
      <c r="A71" s="88"/>
      <c r="B71" s="121">
        <v>3930</v>
      </c>
      <c r="C71" s="121" t="s">
        <v>63</v>
      </c>
      <c r="D71" s="88" t="s">
        <v>515</v>
      </c>
      <c r="E71" s="121">
        <v>58</v>
      </c>
      <c r="F71" s="46" t="s">
        <v>516</v>
      </c>
      <c r="G71" s="26" t="s">
        <v>28</v>
      </c>
      <c r="H71" s="122">
        <v>1330000</v>
      </c>
      <c r="I71" s="123"/>
      <c r="J71" s="130" t="str">
        <f>HYPERLINK("https://drive.google.com/open?id=0B2vBTVEfSzItZ3RsNjNxNVh2djQ","3930")</f>
        <v>3930</v>
      </c>
      <c r="K71" s="133" t="str">
        <f>HYPERLINK("https://drive.google.com/drive/folders/0BwQ57SNHxB3BeGVndk5nUS1tN3c","3930")</f>
        <v>3930</v>
      </c>
      <c r="L71" s="134"/>
      <c r="M71" s="46"/>
      <c r="N71" s="126"/>
      <c r="O71" s="126"/>
      <c r="P71" s="126"/>
      <c r="Q71" s="126"/>
      <c r="R71" s="126"/>
      <c r="S71" s="126"/>
      <c r="T71" s="128"/>
      <c r="U71" s="128">
        <f t="shared" si="11"/>
        <v>2556</v>
      </c>
      <c r="V71" s="129" t="str">
        <f t="shared" si="12"/>
        <v>39</v>
      </c>
      <c r="W71" s="121">
        <f t="shared" si="13"/>
        <v>15</v>
      </c>
      <c r="X71" s="121"/>
      <c r="Y71" s="121"/>
      <c r="Z71" s="121"/>
      <c r="AA71" s="121"/>
    </row>
    <row r="72" spans="1:27" ht="18.75">
      <c r="A72" s="88"/>
      <c r="B72" s="121">
        <v>3940</v>
      </c>
      <c r="C72" s="121" t="s">
        <v>157</v>
      </c>
      <c r="D72" s="88" t="s">
        <v>519</v>
      </c>
      <c r="E72" s="121">
        <v>53</v>
      </c>
      <c r="F72" s="46" t="s">
        <v>520</v>
      </c>
      <c r="G72" s="26" t="s">
        <v>48</v>
      </c>
      <c r="H72" s="122">
        <v>4500</v>
      </c>
      <c r="I72" s="123"/>
      <c r="J72" s="124"/>
      <c r="K72" s="132" t="str">
        <f>HYPERLINK("https://drive.google.com/drive/folders/0BwQ57SNHxB3Bb0pMMEVXZzJSZHM","3940")</f>
        <v>3940</v>
      </c>
      <c r="L72" s="125"/>
      <c r="M72" s="46"/>
      <c r="N72" s="126"/>
      <c r="O72" s="126"/>
      <c r="P72" s="126"/>
      <c r="Q72" s="126"/>
      <c r="R72" s="126"/>
      <c r="S72" s="126"/>
      <c r="T72" s="128">
        <v>20</v>
      </c>
      <c r="U72" s="128">
        <f t="shared" si="11"/>
        <v>2571</v>
      </c>
      <c r="V72" s="129" t="str">
        <f t="shared" si="12"/>
        <v>39</v>
      </c>
      <c r="W72" s="121">
        <f t="shared" si="13"/>
        <v>15</v>
      </c>
      <c r="X72" s="121"/>
      <c r="Y72" s="121"/>
      <c r="Z72" s="121"/>
      <c r="AA72" s="121"/>
    </row>
    <row r="73" spans="1:27" ht="18.75">
      <c r="A73" s="88"/>
      <c r="B73" s="121">
        <v>3940</v>
      </c>
      <c r="C73" s="121" t="s">
        <v>157</v>
      </c>
      <c r="D73" s="88" t="s">
        <v>525</v>
      </c>
      <c r="E73" s="121">
        <v>58</v>
      </c>
      <c r="F73" s="46" t="s">
        <v>526</v>
      </c>
      <c r="G73" s="26" t="s">
        <v>48</v>
      </c>
      <c r="H73" s="122">
        <v>13000</v>
      </c>
      <c r="I73" s="123"/>
      <c r="J73" s="130" t="str">
        <f>HYPERLINK("https://drive.google.com/open?id=0B2vBTVEfSzItUmpoekFMcEM4V0U","3940")</f>
        <v>3940</v>
      </c>
      <c r="K73" s="132" t="str">
        <f>HYPERLINK("https://drive.google.com/drive/folders/0BwQ57SNHxB3Bb0pMMEVXZzJSZHM","3940")</f>
        <v>3940</v>
      </c>
      <c r="L73" s="125"/>
      <c r="M73" s="46"/>
      <c r="N73" s="126"/>
      <c r="O73" s="126"/>
      <c r="P73" s="126"/>
      <c r="Q73" s="126"/>
      <c r="R73" s="126"/>
      <c r="S73" s="126"/>
      <c r="T73" s="128">
        <v>20</v>
      </c>
      <c r="U73" s="128">
        <f t="shared" si="11"/>
        <v>2576</v>
      </c>
      <c r="V73" s="129" t="str">
        <f t="shared" si="12"/>
        <v>39</v>
      </c>
      <c r="W73" s="121">
        <f t="shared" si="13"/>
        <v>15</v>
      </c>
      <c r="X73" s="121"/>
      <c r="Y73" s="121"/>
      <c r="Z73" s="121"/>
      <c r="AA73" s="121"/>
    </row>
    <row r="74" spans="1:27" ht="18.75">
      <c r="A74" s="88"/>
      <c r="B74" s="121">
        <v>3940</v>
      </c>
      <c r="C74" s="121" t="s">
        <v>37</v>
      </c>
      <c r="D74" s="88" t="s">
        <v>529</v>
      </c>
      <c r="E74" s="121">
        <v>55</v>
      </c>
      <c r="F74" s="46" t="s">
        <v>531</v>
      </c>
      <c r="G74" s="26" t="s">
        <v>53</v>
      </c>
      <c r="H74" s="122">
        <v>12500</v>
      </c>
      <c r="I74" s="123"/>
      <c r="J74" s="130" t="str">
        <f>HYPERLINK("https://drive.google.com/open?id=0B2rLR4BADrBtNDdGN2dBNjJMS28","3940")</f>
        <v>3940</v>
      </c>
      <c r="K74" s="132" t="str">
        <f>HYPERLINK("https://drive.google.com/drive/folders/0BwQ57SNHxB3Bb0pMMEVXZzJSZHM","3940")</f>
        <v>3940</v>
      </c>
      <c r="L74" s="125"/>
      <c r="M74" s="46"/>
      <c r="N74" s="126"/>
      <c r="O74" s="126"/>
      <c r="P74" s="126"/>
      <c r="Q74" s="126"/>
      <c r="R74" s="126"/>
      <c r="S74" s="126"/>
      <c r="T74" s="128">
        <v>20</v>
      </c>
      <c r="U74" s="128">
        <f t="shared" si="11"/>
        <v>2573</v>
      </c>
      <c r="V74" s="129" t="str">
        <f t="shared" si="12"/>
        <v>39</v>
      </c>
      <c r="W74" s="121">
        <f t="shared" si="13"/>
        <v>15</v>
      </c>
      <c r="X74" s="121"/>
      <c r="Y74" s="121"/>
      <c r="Z74" s="121"/>
      <c r="AA74" s="121"/>
    </row>
    <row r="75" spans="1:27" ht="18.75">
      <c r="A75" s="88"/>
      <c r="B75" s="121">
        <v>3940</v>
      </c>
      <c r="C75" s="121" t="s">
        <v>157</v>
      </c>
      <c r="D75" s="88" t="s">
        <v>535</v>
      </c>
      <c r="E75" s="121">
        <v>55</v>
      </c>
      <c r="F75" s="46" t="s">
        <v>536</v>
      </c>
      <c r="G75" s="26" t="s">
        <v>537</v>
      </c>
      <c r="H75" s="122">
        <v>35000</v>
      </c>
      <c r="I75" s="123"/>
      <c r="J75" s="130" t="str">
        <f>HYPERLINK("https://drive.google.com/open?id=0B2rLR4BADrBtUUNWVG9ZQWNVSGs","3940")</f>
        <v>3940</v>
      </c>
      <c r="K75" s="132" t="str">
        <f>HYPERLINK("https://drive.google.com/drive/folders/0BwQ57SNHxB3Bb0pMMEVXZzJSZHM","3940")</f>
        <v>3940</v>
      </c>
      <c r="L75" s="125"/>
      <c r="M75" s="46"/>
      <c r="N75" s="126"/>
      <c r="O75" s="126"/>
      <c r="P75" s="126"/>
      <c r="Q75" s="126"/>
      <c r="R75" s="126"/>
      <c r="S75" s="126"/>
      <c r="T75" s="128">
        <v>20</v>
      </c>
      <c r="U75" s="128">
        <f t="shared" si="11"/>
        <v>2573</v>
      </c>
      <c r="V75" s="129" t="str">
        <f t="shared" si="12"/>
        <v>39</v>
      </c>
      <c r="W75" s="121">
        <f t="shared" si="13"/>
        <v>15</v>
      </c>
      <c r="X75" s="121"/>
      <c r="Y75" s="121"/>
      <c r="Z75" s="121"/>
      <c r="AA75" s="121"/>
    </row>
    <row r="76" spans="1:27" ht="18.75">
      <c r="A76" s="88"/>
      <c r="B76" s="121">
        <v>3950</v>
      </c>
      <c r="C76" s="121" t="s">
        <v>372</v>
      </c>
      <c r="D76" s="88" t="s">
        <v>542</v>
      </c>
      <c r="E76" s="121">
        <v>58</v>
      </c>
      <c r="F76" s="46" t="s">
        <v>543</v>
      </c>
      <c r="G76" s="26" t="s">
        <v>78</v>
      </c>
      <c r="H76" s="122">
        <v>8000000</v>
      </c>
      <c r="I76" s="123"/>
      <c r="J76" s="130" t="str">
        <f>HYPERLINK("https://drive.google.com/open?id=0B2vBTVEfSzItX25Ca2JtbTBmZlU","3950")</f>
        <v>3950</v>
      </c>
      <c r="K76" s="133" t="str">
        <f>HYPERLINK("https://drive.google.com/drive/folders/0BwQ57SNHxB3BbWVKdVZ3ZEctSUk","3950")</f>
        <v>3950</v>
      </c>
      <c r="L76" s="88" t="s">
        <v>546</v>
      </c>
      <c r="M76" s="46"/>
      <c r="N76" s="126"/>
      <c r="O76" s="126"/>
      <c r="P76" s="126"/>
      <c r="Q76" s="126"/>
      <c r="R76" s="126"/>
      <c r="S76" s="126"/>
      <c r="T76" s="128"/>
      <c r="U76" s="128">
        <f t="shared" si="11"/>
        <v>2556</v>
      </c>
      <c r="V76" s="129" t="str">
        <f t="shared" si="12"/>
        <v>39</v>
      </c>
      <c r="W76" s="121">
        <f t="shared" si="13"/>
        <v>15</v>
      </c>
      <c r="X76" s="121" t="s">
        <v>548</v>
      </c>
      <c r="Y76" s="121"/>
      <c r="Z76" s="121"/>
      <c r="AA76" s="121"/>
    </row>
    <row r="77" spans="1:27" ht="37.5">
      <c r="A77" s="88"/>
      <c r="B77" s="121">
        <v>3960</v>
      </c>
      <c r="C77" s="121" t="s">
        <v>157</v>
      </c>
      <c r="D77" s="88" t="s">
        <v>550</v>
      </c>
      <c r="E77" s="121">
        <v>59</v>
      </c>
      <c r="F77" s="46" t="s">
        <v>551</v>
      </c>
      <c r="G77" s="26" t="s">
        <v>78</v>
      </c>
      <c r="H77" s="122">
        <v>1200000</v>
      </c>
      <c r="I77" s="123"/>
      <c r="J77" s="130" t="str">
        <f>HYPERLINK("https://drive.google.com/open?id=0B2vBTVEfSzItZDdERkpEdDA4OUk","3960")</f>
        <v>3960</v>
      </c>
      <c r="K77" s="132" t="str">
        <f>HYPERLINK("https://drive.google.com/drive/folders/0BwN2QqBc2z4QfmtGczM5ejJFYWlnLVRfN05Gd0RFTVlhNWZxOHc3UFdCZWtranBmemVLd0E","3960")</f>
        <v>3960</v>
      </c>
      <c r="L77" s="125"/>
      <c r="M77" s="93"/>
      <c r="N77" s="126"/>
      <c r="O77" s="126"/>
      <c r="P77" s="126"/>
      <c r="Q77" s="126"/>
      <c r="R77" s="126"/>
      <c r="S77" s="126"/>
      <c r="T77" s="128"/>
      <c r="U77" s="128">
        <f t="shared" si="11"/>
        <v>2557</v>
      </c>
      <c r="V77" s="129" t="str">
        <f t="shared" si="12"/>
        <v>39</v>
      </c>
      <c r="W77" s="121">
        <f t="shared" si="13"/>
        <v>15</v>
      </c>
      <c r="X77" s="121"/>
      <c r="Y77" s="121"/>
      <c r="Z77" s="121"/>
      <c r="AA77" s="121"/>
    </row>
    <row r="78" spans="1:27" ht="18.75">
      <c r="A78" s="118"/>
      <c r="B78" s="117">
        <v>4100</v>
      </c>
      <c r="C78" s="117"/>
      <c r="D78" s="117" t="str">
        <f>"พัสดุ"&amp; VLOOKUP(V78,'เลขSpec.2 ตัวแรก'!$A$2:$B$100,2,FALSE)&amp; " จำนวน "&amp;W78&amp;" รายการ"</f>
        <v>พัสดุหมวด 41 บริภัณฑ์ทำความเย็น การปรับสภาพอากาศ และการถ่ายเทอากาศ จำนวน 21 รายการ</v>
      </c>
      <c r="E78" s="117"/>
      <c r="F78" s="117"/>
      <c r="G78" s="119"/>
      <c r="H78" s="119"/>
      <c r="I78" s="119"/>
      <c r="J78" s="117"/>
      <c r="K78" s="117"/>
      <c r="L78" s="117"/>
      <c r="M78" s="118"/>
      <c r="N78" s="117"/>
      <c r="O78" s="117"/>
      <c r="P78" s="117"/>
      <c r="Q78" s="117"/>
      <c r="R78" s="117"/>
      <c r="S78" s="119"/>
      <c r="T78" s="119"/>
      <c r="U78" s="119"/>
      <c r="V78" s="117" t="str">
        <f t="shared" si="12"/>
        <v>41</v>
      </c>
      <c r="W78" s="117">
        <f>COUNTIF($V$2:$V$286,V78)-1</f>
        <v>21</v>
      </c>
      <c r="X78" s="117"/>
      <c r="Y78" s="121"/>
      <c r="Z78" s="121"/>
      <c r="AA78" s="121"/>
    </row>
    <row r="79" spans="1:27" ht="18.75">
      <c r="A79" s="88"/>
      <c r="B79" s="121">
        <v>4120</v>
      </c>
      <c r="C79" s="121" t="s">
        <v>157</v>
      </c>
      <c r="D79" s="88" t="s">
        <v>558</v>
      </c>
      <c r="E79" s="121">
        <v>62</v>
      </c>
      <c r="F79" s="46" t="s">
        <v>559</v>
      </c>
      <c r="G79" s="26" t="s">
        <v>78</v>
      </c>
      <c r="H79" s="122">
        <v>6700000</v>
      </c>
      <c r="I79" s="123"/>
      <c r="J79" s="131" t="str">
        <f>HYPERLINK("https://drive.google.com/file/d/16m5qNUCe9KMltxy4nlstiI544KHEAjGf/view?usp=sharing","4120")</f>
        <v>4120</v>
      </c>
      <c r="K79" s="125"/>
      <c r="L79" s="125"/>
      <c r="M79" s="46"/>
      <c r="N79" s="126"/>
      <c r="O79" s="126"/>
      <c r="P79" s="126"/>
      <c r="Q79" s="126"/>
      <c r="R79" s="126"/>
      <c r="S79" s="126"/>
      <c r="T79" s="128"/>
      <c r="U79" s="128"/>
      <c r="V79" s="129"/>
      <c r="W79" s="121"/>
      <c r="X79" s="121"/>
      <c r="Y79" s="121"/>
      <c r="Z79" s="121"/>
      <c r="AA79" s="121"/>
    </row>
    <row r="80" spans="1:27" ht="18.75">
      <c r="A80" s="88"/>
      <c r="B80" s="121">
        <v>4120</v>
      </c>
      <c r="C80" s="121" t="s">
        <v>372</v>
      </c>
      <c r="D80" s="88" t="s">
        <v>566</v>
      </c>
      <c r="E80" s="121">
        <v>60</v>
      </c>
      <c r="F80" s="46" t="s">
        <v>567</v>
      </c>
      <c r="G80" s="26" t="s">
        <v>78</v>
      </c>
      <c r="H80" s="122">
        <v>11000000</v>
      </c>
      <c r="I80" s="123"/>
      <c r="J80" s="130" t="str">
        <f>HYPERLINK("https://drive.google.com/open?id=0B2vBTVEfSzItaTdkSEdoa1ZCd0U","4120")</f>
        <v>4120</v>
      </c>
      <c r="K80" s="125"/>
      <c r="L80" s="88" t="s">
        <v>568</v>
      </c>
      <c r="M80" s="46"/>
      <c r="N80" s="126"/>
      <c r="O80" s="126"/>
      <c r="P80" s="126"/>
      <c r="Q80" s="126"/>
      <c r="R80" s="126"/>
      <c r="S80" s="126"/>
      <c r="T80" s="128"/>
      <c r="U80" s="128">
        <f>E80+T80-2+2500</f>
        <v>2558</v>
      </c>
      <c r="V80" s="129" t="str">
        <f>LEFT(B80, SEARCH("",B80,2))</f>
        <v>41</v>
      </c>
      <c r="W80" s="121">
        <f>COUNTIF($V$4:$V$286,V80)-1</f>
        <v>21</v>
      </c>
      <c r="X80" s="121" t="s">
        <v>548</v>
      </c>
      <c r="Y80" s="121"/>
      <c r="Z80" s="121"/>
      <c r="AA80" s="121"/>
    </row>
    <row r="81" spans="1:27" ht="18.75">
      <c r="A81" s="88"/>
      <c r="B81" s="121">
        <v>4120</v>
      </c>
      <c r="C81" s="121" t="s">
        <v>157</v>
      </c>
      <c r="D81" s="88" t="s">
        <v>571</v>
      </c>
      <c r="E81" s="121">
        <v>62</v>
      </c>
      <c r="F81" s="46" t="s">
        <v>573</v>
      </c>
      <c r="G81" s="26" t="s">
        <v>78</v>
      </c>
      <c r="H81" s="122">
        <v>4500000</v>
      </c>
      <c r="I81" s="123"/>
      <c r="J81" s="131" t="str">
        <f>HYPERLINK("https://drive.google.com/file/d/1q7fyuzq1w4Jbaejin2AFtW6QPTMmP_W-/view?usp=sharing","4120")</f>
        <v>4120</v>
      </c>
      <c r="K81" s="125"/>
      <c r="L81" s="125"/>
      <c r="M81" s="46"/>
      <c r="N81" s="126"/>
      <c r="O81" s="126"/>
      <c r="P81" s="126"/>
      <c r="Q81" s="126"/>
      <c r="R81" s="126"/>
      <c r="S81" s="126"/>
      <c r="T81" s="128"/>
      <c r="U81" s="128"/>
      <c r="V81" s="129"/>
      <c r="W81" s="121"/>
      <c r="X81" s="121"/>
      <c r="Y81" s="121"/>
      <c r="Z81" s="121"/>
      <c r="AA81" s="121"/>
    </row>
    <row r="82" spans="1:27" ht="37.5">
      <c r="A82" s="88"/>
      <c r="B82" s="121">
        <v>4120</v>
      </c>
      <c r="C82" s="121" t="s">
        <v>157</v>
      </c>
      <c r="D82" s="88" t="s">
        <v>577</v>
      </c>
      <c r="E82" s="121">
        <v>61</v>
      </c>
      <c r="F82" s="46" t="s">
        <v>578</v>
      </c>
      <c r="G82" s="26" t="s">
        <v>78</v>
      </c>
      <c r="H82" s="122">
        <v>2000000</v>
      </c>
      <c r="I82" s="123"/>
      <c r="J82" s="130" t="str">
        <f>HYPERLINK("https://drive.google.com/open?id=1N50GEbAn-Uj5yQNyPNuUWq7YTOJ0uGtO","4120")</f>
        <v>4120</v>
      </c>
      <c r="K82" s="125"/>
      <c r="L82" s="125"/>
      <c r="M82" s="46"/>
      <c r="N82" s="126"/>
      <c r="O82" s="126"/>
      <c r="P82" s="126"/>
      <c r="Q82" s="126"/>
      <c r="R82" s="126"/>
      <c r="S82" s="126"/>
      <c r="T82" s="128"/>
      <c r="U82" s="128"/>
      <c r="V82" s="129" t="str">
        <f t="shared" ref="V82:V89" si="14">LEFT(B82, SEARCH("",B82,2))</f>
        <v>41</v>
      </c>
      <c r="W82" s="121">
        <f t="shared" ref="W82:W89" si="15">COUNTIF($V$4:$V$286,V82)-1</f>
        <v>21</v>
      </c>
      <c r="X82" s="121"/>
      <c r="Y82" s="121"/>
      <c r="Z82" s="121"/>
      <c r="AA82" s="121"/>
    </row>
    <row r="83" spans="1:27" ht="37.5">
      <c r="A83" s="88"/>
      <c r="B83" s="121">
        <v>4120</v>
      </c>
      <c r="C83" s="121" t="s">
        <v>157</v>
      </c>
      <c r="D83" s="88" t="s">
        <v>583</v>
      </c>
      <c r="E83" s="121">
        <v>59</v>
      </c>
      <c r="F83" s="46" t="s">
        <v>584</v>
      </c>
      <c r="G83" s="26" t="s">
        <v>78</v>
      </c>
      <c r="H83" s="122">
        <v>2500000</v>
      </c>
      <c r="I83" s="123"/>
      <c r="J83" s="130" t="str">
        <f>HYPERLINK("https://drive.google.com/open?id=0B2vBTVEfSzItdl81OTVmMEtkeWM","4120")</f>
        <v>4120</v>
      </c>
      <c r="K83" s="125"/>
      <c r="L83" s="125"/>
      <c r="M83" s="46"/>
      <c r="N83" s="126"/>
      <c r="O83" s="126"/>
      <c r="P83" s="126"/>
      <c r="Q83" s="126"/>
      <c r="R83" s="126"/>
      <c r="S83" s="126"/>
      <c r="T83" s="128"/>
      <c r="U83" s="128">
        <f t="shared" ref="U83:U89" si="16">E83+T83-2+2500</f>
        <v>2557</v>
      </c>
      <c r="V83" s="129" t="str">
        <f t="shared" si="14"/>
        <v>41</v>
      </c>
      <c r="W83" s="121">
        <f t="shared" si="15"/>
        <v>21</v>
      </c>
      <c r="X83" s="121"/>
      <c r="Y83" s="121"/>
      <c r="Z83" s="121"/>
      <c r="AA83" s="121"/>
    </row>
    <row r="84" spans="1:27" ht="18.75">
      <c r="A84" s="88"/>
      <c r="B84" s="121">
        <v>4120</v>
      </c>
      <c r="C84" s="121" t="s">
        <v>157</v>
      </c>
      <c r="D84" s="88" t="s">
        <v>589</v>
      </c>
      <c r="E84" s="121">
        <v>58</v>
      </c>
      <c r="F84" s="46" t="s">
        <v>591</v>
      </c>
      <c r="G84" s="26" t="s">
        <v>78</v>
      </c>
      <c r="H84" s="122">
        <v>220000</v>
      </c>
      <c r="I84" s="123"/>
      <c r="J84" s="130" t="str">
        <f>HYPERLINK("https://drive.google.com/open?id=0B2vBTVEfSzItckRORWFfei1tSDA","4120")</f>
        <v>4120</v>
      </c>
      <c r="K84" s="132" t="str">
        <f>HYPERLINK("https://drive.google.com/drive/folders/0BwQ57SNHxB3BRi1zZjFVWHN6b2c","4120")</f>
        <v>4120</v>
      </c>
      <c r="L84" s="125"/>
      <c r="M84" s="46"/>
      <c r="N84" s="126"/>
      <c r="O84" s="126"/>
      <c r="P84" s="126"/>
      <c r="Q84" s="126"/>
      <c r="R84" s="126"/>
      <c r="S84" s="126"/>
      <c r="T84" s="128">
        <v>20</v>
      </c>
      <c r="U84" s="128">
        <f t="shared" si="16"/>
        <v>2576</v>
      </c>
      <c r="V84" s="129" t="str">
        <f t="shared" si="14"/>
        <v>41</v>
      </c>
      <c r="W84" s="121">
        <f t="shared" si="15"/>
        <v>21</v>
      </c>
      <c r="X84" s="121"/>
      <c r="Y84" s="121"/>
      <c r="Z84" s="121"/>
      <c r="AA84" s="121"/>
    </row>
    <row r="85" spans="1:27" ht="18.75">
      <c r="A85" s="88"/>
      <c r="B85" s="121">
        <v>4120</v>
      </c>
      <c r="C85" s="121" t="s">
        <v>157</v>
      </c>
      <c r="D85" s="88" t="s">
        <v>594</v>
      </c>
      <c r="E85" s="121">
        <v>60</v>
      </c>
      <c r="F85" s="46" t="s">
        <v>595</v>
      </c>
      <c r="G85" s="26" t="s">
        <v>78</v>
      </c>
      <c r="H85" s="122">
        <v>320000</v>
      </c>
      <c r="I85" s="123"/>
      <c r="J85" s="124"/>
      <c r="K85" s="125"/>
      <c r="L85" s="125"/>
      <c r="M85" s="46"/>
      <c r="N85" s="126"/>
      <c r="O85" s="126"/>
      <c r="P85" s="126"/>
      <c r="Q85" s="126"/>
      <c r="R85" s="126"/>
      <c r="S85" s="126"/>
      <c r="T85" s="128"/>
      <c r="U85" s="128">
        <f t="shared" si="16"/>
        <v>2558</v>
      </c>
      <c r="V85" s="129" t="str">
        <f t="shared" si="14"/>
        <v>41</v>
      </c>
      <c r="W85" s="121">
        <f t="shared" si="15"/>
        <v>21</v>
      </c>
      <c r="X85" s="121"/>
      <c r="Y85" s="121"/>
      <c r="Z85" s="121"/>
      <c r="AA85" s="121"/>
    </row>
    <row r="86" spans="1:27" ht="18.75">
      <c r="A86" s="88"/>
      <c r="B86" s="121">
        <v>4120</v>
      </c>
      <c r="C86" s="121" t="s">
        <v>157</v>
      </c>
      <c r="D86" s="88" t="s">
        <v>600</v>
      </c>
      <c r="E86" s="121">
        <v>58</v>
      </c>
      <c r="F86" s="46" t="s">
        <v>601</v>
      </c>
      <c r="G86" s="26" t="s">
        <v>78</v>
      </c>
      <c r="H86" s="122">
        <v>520000</v>
      </c>
      <c r="I86" s="123"/>
      <c r="J86" s="130" t="str">
        <f>HYPERLINK("https://drive.google.com/open?id=0B2vBTVEfSzItclhFZ1FqOUNZM28","4120")</f>
        <v>4120</v>
      </c>
      <c r="K86" s="132" t="str">
        <f>HYPERLINK("https://drive.google.com/drive/folders/0BwQ57SNHxB3BRi1zZjFVWHN6b2c","4120")</f>
        <v>4120</v>
      </c>
      <c r="L86" s="125"/>
      <c r="M86" s="46"/>
      <c r="N86" s="126"/>
      <c r="O86" s="126"/>
      <c r="P86" s="126"/>
      <c r="Q86" s="126"/>
      <c r="R86" s="126"/>
      <c r="S86" s="126"/>
      <c r="T86" s="128">
        <v>20</v>
      </c>
      <c r="U86" s="128">
        <f t="shared" si="16"/>
        <v>2576</v>
      </c>
      <c r="V86" s="129" t="str">
        <f t="shared" si="14"/>
        <v>41</v>
      </c>
      <c r="W86" s="121">
        <f t="shared" si="15"/>
        <v>21</v>
      </c>
      <c r="X86" s="121"/>
      <c r="Y86" s="121"/>
      <c r="Z86" s="121"/>
      <c r="AA86" s="121"/>
    </row>
    <row r="87" spans="1:27" ht="18.75">
      <c r="A87" s="88"/>
      <c r="B87" s="121">
        <v>4120</v>
      </c>
      <c r="C87" s="121" t="s">
        <v>157</v>
      </c>
      <c r="D87" s="88" t="s">
        <v>606</v>
      </c>
      <c r="E87" s="121">
        <v>58</v>
      </c>
      <c r="F87" s="46" t="s">
        <v>607</v>
      </c>
      <c r="G87" s="26" t="s">
        <v>78</v>
      </c>
      <c r="H87" s="122">
        <v>105000</v>
      </c>
      <c r="I87" s="123"/>
      <c r="J87" s="130" t="str">
        <f>HYPERLINK("https://drive.google.com/open?id=0B2vBTVEfSzItWW9tSFBOa19kX28","4120")</f>
        <v>4120</v>
      </c>
      <c r="K87" s="132" t="str">
        <f>HYPERLINK("https://drive.google.com/drive/folders/0BwQ57SNHxB3BRi1zZjFVWHN6b2c","4120")</f>
        <v>4120</v>
      </c>
      <c r="L87" s="125"/>
      <c r="M87" s="46"/>
      <c r="N87" s="126"/>
      <c r="O87" s="126"/>
      <c r="P87" s="126"/>
      <c r="Q87" s="126"/>
      <c r="R87" s="126"/>
      <c r="S87" s="126"/>
      <c r="T87" s="128">
        <v>20</v>
      </c>
      <c r="U87" s="128">
        <f t="shared" si="16"/>
        <v>2576</v>
      </c>
      <c r="V87" s="129" t="str">
        <f t="shared" si="14"/>
        <v>41</v>
      </c>
      <c r="W87" s="121">
        <f t="shared" si="15"/>
        <v>21</v>
      </c>
      <c r="X87" s="121"/>
      <c r="Y87" s="121"/>
      <c r="Z87" s="121"/>
      <c r="AA87" s="121"/>
    </row>
    <row r="88" spans="1:27" ht="18.75">
      <c r="A88" s="88"/>
      <c r="B88" s="121">
        <v>4120</v>
      </c>
      <c r="C88" s="121" t="s">
        <v>157</v>
      </c>
      <c r="D88" s="88" t="s">
        <v>613</v>
      </c>
      <c r="E88" s="121">
        <v>58</v>
      </c>
      <c r="F88" s="46" t="s">
        <v>614</v>
      </c>
      <c r="G88" s="26" t="s">
        <v>78</v>
      </c>
      <c r="H88" s="122">
        <v>195000</v>
      </c>
      <c r="I88" s="123"/>
      <c r="J88" s="130" t="str">
        <f>HYPERLINK("https://drive.google.com/open?id=0B2vBTVEfSzItSFctellyU0pneVE","4120")</f>
        <v>4120</v>
      </c>
      <c r="K88" s="132" t="str">
        <f>HYPERLINK("https://drive.google.com/drive/folders/0BwQ57SNHxB3BRi1zZjFVWHN6b2c","4120")</f>
        <v>4120</v>
      </c>
      <c r="L88" s="125"/>
      <c r="M88" s="46"/>
      <c r="N88" s="126"/>
      <c r="O88" s="126"/>
      <c r="P88" s="126"/>
      <c r="Q88" s="126"/>
      <c r="R88" s="126"/>
      <c r="S88" s="126"/>
      <c r="T88" s="128">
        <v>20</v>
      </c>
      <c r="U88" s="128">
        <f t="shared" si="16"/>
        <v>2576</v>
      </c>
      <c r="V88" s="129" t="str">
        <f t="shared" si="14"/>
        <v>41</v>
      </c>
      <c r="W88" s="121">
        <f t="shared" si="15"/>
        <v>21</v>
      </c>
      <c r="X88" s="121"/>
      <c r="Y88" s="121"/>
      <c r="Z88" s="121"/>
      <c r="AA88" s="121"/>
    </row>
    <row r="89" spans="1:27" ht="18.75">
      <c r="A89" s="88"/>
      <c r="B89" s="121">
        <v>4120</v>
      </c>
      <c r="C89" s="121" t="s">
        <v>157</v>
      </c>
      <c r="D89" s="88" t="s">
        <v>618</v>
      </c>
      <c r="E89" s="121">
        <v>59</v>
      </c>
      <c r="F89" s="46" t="s">
        <v>619</v>
      </c>
      <c r="G89" s="26" t="s">
        <v>78</v>
      </c>
      <c r="H89" s="122">
        <v>70000</v>
      </c>
      <c r="I89" s="123"/>
      <c r="J89" s="124"/>
      <c r="K89" s="125"/>
      <c r="L89" s="125"/>
      <c r="M89" s="46"/>
      <c r="N89" s="126"/>
      <c r="O89" s="126"/>
      <c r="P89" s="126"/>
      <c r="Q89" s="126"/>
      <c r="R89" s="126"/>
      <c r="S89" s="126"/>
      <c r="T89" s="128"/>
      <c r="U89" s="128">
        <f t="shared" si="16"/>
        <v>2557</v>
      </c>
      <c r="V89" s="129" t="str">
        <f t="shared" si="14"/>
        <v>41</v>
      </c>
      <c r="W89" s="121">
        <f t="shared" si="15"/>
        <v>21</v>
      </c>
      <c r="X89" s="121"/>
      <c r="Y89" s="121"/>
      <c r="Z89" s="121"/>
      <c r="AA89" s="121"/>
    </row>
    <row r="90" spans="1:27" ht="112.5">
      <c r="A90" s="88"/>
      <c r="B90" s="121">
        <v>4120</v>
      </c>
      <c r="C90" s="121" t="s">
        <v>157</v>
      </c>
      <c r="D90" s="88" t="s">
        <v>624</v>
      </c>
      <c r="E90" s="121">
        <v>58</v>
      </c>
      <c r="F90" s="46" t="s">
        <v>625</v>
      </c>
      <c r="G90" s="26" t="s">
        <v>78</v>
      </c>
      <c r="H90" s="122">
        <v>56000</v>
      </c>
      <c r="I90" s="123"/>
      <c r="J90" s="124"/>
      <c r="K90" s="132" t="str">
        <f>HYPERLINK("https://drive.google.com/drive/folders/0BwQ57SNHxB3BRi1zZjFVWHN6b2c","4120")</f>
        <v>4120</v>
      </c>
      <c r="L90" s="125"/>
      <c r="M90" s="46"/>
      <c r="N90" s="121">
        <v>4120</v>
      </c>
      <c r="O90" s="121" t="s">
        <v>157</v>
      </c>
      <c r="P90" s="88" t="s">
        <v>630</v>
      </c>
      <c r="Q90" s="121">
        <v>58</v>
      </c>
      <c r="R90" s="24" t="s">
        <v>631</v>
      </c>
      <c r="S90" s="26" t="s">
        <v>78</v>
      </c>
      <c r="T90" s="122">
        <v>70000</v>
      </c>
      <c r="U90" s="139"/>
      <c r="V90" s="140" t="str">
        <f>HYPERLINK("https://drive.google.com/open?id=0B2vBTVEfSzItTGstMUw2LW9vVUE","4120")</f>
        <v>4120</v>
      </c>
      <c r="W90" s="132" t="str">
        <f>HYPERLINK("https://drive.google.com/drive/folders/0BwQ57SNHxB3BRi1zZjFVWHN6b2c","4120")</f>
        <v>4120</v>
      </c>
      <c r="X90" s="141"/>
      <c r="Y90" s="24" t="s">
        <v>634</v>
      </c>
      <c r="Z90" s="142"/>
      <c r="AA90" s="121"/>
    </row>
    <row r="91" spans="1:27" ht="37.5">
      <c r="A91" s="88"/>
      <c r="B91" s="121">
        <v>4120</v>
      </c>
      <c r="C91" s="121" t="s">
        <v>157</v>
      </c>
      <c r="D91" s="88" t="s">
        <v>637</v>
      </c>
      <c r="E91" s="121">
        <v>62</v>
      </c>
      <c r="F91" s="46" t="s">
        <v>638</v>
      </c>
      <c r="G91" s="26" t="s">
        <v>273</v>
      </c>
      <c r="H91" s="122">
        <v>75000</v>
      </c>
      <c r="I91" s="123"/>
      <c r="J91" s="131" t="str">
        <f>HYPERLINK("https://drive.google.com/file/d/13ef4yubp1wV6LxFrWgZU7jBjLwS8DoNW/view","4120")</f>
        <v>4120</v>
      </c>
      <c r="K91" s="125"/>
      <c r="L91" s="125"/>
      <c r="M91" s="46"/>
      <c r="N91" s="126"/>
      <c r="O91" s="126"/>
      <c r="P91" s="126"/>
      <c r="Q91" s="126"/>
      <c r="R91" s="126"/>
      <c r="S91" s="126"/>
      <c r="T91" s="128"/>
      <c r="U91" s="128"/>
      <c r="V91" s="129"/>
      <c r="W91" s="121"/>
      <c r="X91" s="121"/>
      <c r="Y91" s="121"/>
      <c r="Z91" s="121"/>
      <c r="AA91" s="121"/>
    </row>
    <row r="92" spans="1:27" ht="18.75">
      <c r="A92" s="88"/>
      <c r="B92" s="121">
        <v>4120</v>
      </c>
      <c r="C92" s="121" t="s">
        <v>157</v>
      </c>
      <c r="D92" s="88" t="s">
        <v>641</v>
      </c>
      <c r="E92" s="121">
        <v>59</v>
      </c>
      <c r="F92" s="46" t="s">
        <v>642</v>
      </c>
      <c r="G92" s="26" t="s">
        <v>78</v>
      </c>
      <c r="H92" s="122">
        <v>53300</v>
      </c>
      <c r="I92" s="123"/>
      <c r="J92" s="130" t="str">
        <f>HYPERLINK("https://drive.google.com/open?id=0B2vBTVEfSzItaF9HRjRwSWc3dnM","4120")</f>
        <v>4120</v>
      </c>
      <c r="K92" s="125"/>
      <c r="L92" s="125"/>
      <c r="M92" s="46"/>
      <c r="N92" s="126"/>
      <c r="O92" s="126"/>
      <c r="P92" s="126"/>
      <c r="Q92" s="126"/>
      <c r="R92" s="126"/>
      <c r="S92" s="126"/>
      <c r="T92" s="128"/>
      <c r="U92" s="128">
        <f>E92+T92-2+2500</f>
        <v>2557</v>
      </c>
      <c r="V92" s="129" t="str">
        <f>LEFT(B92, SEARCH("",B92,2))</f>
        <v>41</v>
      </c>
      <c r="W92" s="121">
        <f>COUNTIF($V$4:$V$286,V92)-1</f>
        <v>21</v>
      </c>
      <c r="X92" s="121"/>
      <c r="Y92" s="121"/>
      <c r="Z92" s="121"/>
      <c r="AA92" s="121"/>
    </row>
    <row r="93" spans="1:27" ht="18.75">
      <c r="A93" s="88"/>
      <c r="B93" s="121">
        <v>4120</v>
      </c>
      <c r="C93" s="121" t="s">
        <v>157</v>
      </c>
      <c r="D93" s="88" t="s">
        <v>647</v>
      </c>
      <c r="E93" s="121">
        <v>58</v>
      </c>
      <c r="F93" s="46" t="s">
        <v>648</v>
      </c>
      <c r="G93" s="26" t="s">
        <v>78</v>
      </c>
      <c r="H93" s="122">
        <v>57000</v>
      </c>
      <c r="I93" s="123"/>
      <c r="J93" s="124"/>
      <c r="K93" s="132" t="str">
        <f>HYPERLINK("https://drive.google.com/drive/folders/0BwQ57SNHxB3BRi1zZjFVWHN6b2c","4120")</f>
        <v>4120</v>
      </c>
      <c r="L93" s="125"/>
      <c r="M93" s="46"/>
      <c r="N93" s="126"/>
      <c r="O93" s="126"/>
      <c r="P93" s="126"/>
      <c r="Q93" s="126"/>
      <c r="R93" s="126"/>
      <c r="S93" s="126"/>
      <c r="T93" s="135">
        <v>20</v>
      </c>
      <c r="U93" s="135">
        <f>E93+T93-2+2500</f>
        <v>2576</v>
      </c>
      <c r="V93" s="129" t="str">
        <f>LEFT(B93, SEARCH("",B93,2))</f>
        <v>41</v>
      </c>
      <c r="W93" s="121">
        <f>COUNTIF($V$4:$V$286,V93)-1</f>
        <v>21</v>
      </c>
      <c r="X93" s="121"/>
      <c r="Y93" s="121"/>
      <c r="Z93" s="121"/>
      <c r="AA93" s="121"/>
    </row>
    <row r="94" spans="1:27" ht="18.75">
      <c r="A94" s="88"/>
      <c r="B94" s="121">
        <v>4120</v>
      </c>
      <c r="C94" s="121" t="s">
        <v>157</v>
      </c>
      <c r="D94" s="88" t="s">
        <v>653</v>
      </c>
      <c r="E94" s="121">
        <v>58</v>
      </c>
      <c r="F94" s="46" t="s">
        <v>654</v>
      </c>
      <c r="G94" s="26" t="s">
        <v>78</v>
      </c>
      <c r="H94" s="122">
        <v>48000</v>
      </c>
      <c r="I94" s="123"/>
      <c r="J94" s="130" t="str">
        <f>HYPERLINK("https://drive.google.com/open?id=0B2vBTVEfSzItNzBPWEUtNzNJdjA","4120")</f>
        <v>4120</v>
      </c>
      <c r="K94" s="132" t="str">
        <f>HYPERLINK("https://drive.google.com/drive/folders/0BwQ57SNHxB3BRi1zZjFVWHN6b2c","4120")</f>
        <v>4120</v>
      </c>
      <c r="L94" s="125"/>
      <c r="M94" s="46"/>
      <c r="N94" s="126"/>
      <c r="O94" s="126"/>
      <c r="P94" s="126"/>
      <c r="Q94" s="126"/>
      <c r="R94" s="126"/>
      <c r="S94" s="126"/>
      <c r="T94" s="128">
        <v>20</v>
      </c>
      <c r="U94" s="128">
        <f>E94+T94-2+2500</f>
        <v>2576</v>
      </c>
      <c r="V94" s="129" t="str">
        <f>LEFT(B94, SEARCH("",B94,2))</f>
        <v>41</v>
      </c>
      <c r="W94" s="121">
        <f>COUNTIF($V$4:$V$286,V94)-1</f>
        <v>21</v>
      </c>
      <c r="X94" s="121"/>
      <c r="Y94" s="121"/>
      <c r="Z94" s="121"/>
      <c r="AA94" s="121"/>
    </row>
    <row r="95" spans="1:27" ht="18.75">
      <c r="A95" s="88"/>
      <c r="B95" s="121">
        <v>4120</v>
      </c>
      <c r="C95" s="121" t="s">
        <v>157</v>
      </c>
      <c r="D95" s="88" t="s">
        <v>657</v>
      </c>
      <c r="E95" s="121">
        <v>61</v>
      </c>
      <c r="F95" s="46" t="s">
        <v>658</v>
      </c>
      <c r="G95" s="26" t="s">
        <v>78</v>
      </c>
      <c r="H95" s="122">
        <v>58000</v>
      </c>
      <c r="I95" s="123"/>
      <c r="J95" s="124"/>
      <c r="K95" s="125"/>
      <c r="L95" s="125"/>
      <c r="M95" s="46"/>
      <c r="N95" s="126"/>
      <c r="O95" s="126"/>
      <c r="P95" s="126"/>
      <c r="Q95" s="126"/>
      <c r="R95" s="126"/>
      <c r="S95" s="126"/>
      <c r="T95" s="128"/>
      <c r="U95" s="128"/>
      <c r="V95" s="129" t="str">
        <f>LEFT(B95, SEARCH("",B95,2))</f>
        <v>41</v>
      </c>
      <c r="W95" s="121">
        <f>COUNTIF($V$4:$V$286,V95)-1</f>
        <v>21</v>
      </c>
      <c r="X95" s="121"/>
      <c r="Y95" s="121"/>
      <c r="Z95" s="121"/>
      <c r="AA95" s="121"/>
    </row>
    <row r="96" spans="1:27" ht="18.75">
      <c r="A96" s="88"/>
      <c r="B96" s="121">
        <v>4120</v>
      </c>
      <c r="C96" s="121" t="s">
        <v>157</v>
      </c>
      <c r="D96" s="88" t="s">
        <v>663</v>
      </c>
      <c r="E96" s="121">
        <v>62</v>
      </c>
      <c r="F96" s="46" t="s">
        <v>664</v>
      </c>
      <c r="G96" s="26" t="s">
        <v>78</v>
      </c>
      <c r="H96" s="122">
        <v>61000</v>
      </c>
      <c r="I96" s="123"/>
      <c r="J96" s="124"/>
      <c r="K96" s="125"/>
      <c r="L96" s="125"/>
      <c r="M96" s="46"/>
      <c r="N96" s="126"/>
      <c r="O96" s="126"/>
      <c r="P96" s="126"/>
      <c r="Q96" s="126"/>
      <c r="R96" s="126"/>
      <c r="S96" s="126"/>
      <c r="T96" s="128"/>
      <c r="U96" s="128"/>
      <c r="V96" s="129"/>
      <c r="W96" s="121"/>
      <c r="X96" s="121"/>
      <c r="Y96" s="121"/>
      <c r="Z96" s="121"/>
      <c r="AA96" s="121"/>
    </row>
    <row r="97" spans="1:27" ht="18.75">
      <c r="A97" s="88"/>
      <c r="B97" s="121">
        <v>4120</v>
      </c>
      <c r="C97" s="121" t="s">
        <v>157</v>
      </c>
      <c r="D97" s="88" t="s">
        <v>630</v>
      </c>
      <c r="E97" s="121">
        <v>58</v>
      </c>
      <c r="F97" s="46" t="s">
        <v>665</v>
      </c>
      <c r="G97" s="26" t="s">
        <v>78</v>
      </c>
      <c r="H97" s="122">
        <v>70000</v>
      </c>
      <c r="I97" s="123"/>
      <c r="J97" s="124"/>
      <c r="K97" s="132" t="str">
        <f>HYPERLINK("https://drive.google.com/drive/folders/0BwQ57SNHxB3BRi1zZjFVWHN6b2c","4120")</f>
        <v>4120</v>
      </c>
      <c r="L97" s="125"/>
      <c r="M97" s="46"/>
      <c r="N97" s="126"/>
      <c r="O97" s="126"/>
      <c r="P97" s="126"/>
      <c r="Q97" s="126"/>
      <c r="R97" s="126"/>
      <c r="S97" s="126"/>
      <c r="T97" s="128">
        <v>20</v>
      </c>
      <c r="U97" s="128">
        <f>E97+T97-2+2500</f>
        <v>2576</v>
      </c>
      <c r="V97" s="129" t="str">
        <f>LEFT(B97, SEARCH("",B97,2))</f>
        <v>41</v>
      </c>
      <c r="W97" s="121">
        <f>COUNTIF($V$4:$V$286,V97)-1</f>
        <v>21</v>
      </c>
      <c r="X97" s="121"/>
      <c r="Y97" s="121"/>
      <c r="Z97" s="121"/>
      <c r="AA97" s="121"/>
    </row>
    <row r="98" spans="1:27" ht="18.75">
      <c r="A98" s="88"/>
      <c r="B98" s="121">
        <v>4120</v>
      </c>
      <c r="C98" s="121" t="s">
        <v>157</v>
      </c>
      <c r="D98" s="88" t="s">
        <v>666</v>
      </c>
      <c r="E98" s="121">
        <v>62</v>
      </c>
      <c r="F98" s="46" t="s">
        <v>667</v>
      </c>
      <c r="G98" s="26" t="s">
        <v>78</v>
      </c>
      <c r="H98" s="122">
        <v>81300</v>
      </c>
      <c r="I98" s="123"/>
      <c r="J98" s="130" t="str">
        <f>HYPERLINK("https://drive.google.com/open?id=11RHs_UqrYgFbXgAwQOEdDM8-Dl9DWMN1","4120")</f>
        <v>4120</v>
      </c>
      <c r="K98" s="125"/>
      <c r="L98" s="125"/>
      <c r="M98" s="46"/>
      <c r="N98" s="126"/>
      <c r="O98" s="126"/>
      <c r="P98" s="126"/>
      <c r="Q98" s="126"/>
      <c r="R98" s="126"/>
      <c r="S98" s="126"/>
      <c r="T98" s="128"/>
      <c r="U98" s="128"/>
      <c r="V98" s="129"/>
      <c r="W98" s="121"/>
      <c r="X98" s="121"/>
      <c r="Y98" s="121"/>
      <c r="Z98" s="121"/>
      <c r="AA98" s="121"/>
    </row>
    <row r="99" spans="1:27" ht="37.5">
      <c r="A99" s="88"/>
      <c r="B99" s="121">
        <v>4120</v>
      </c>
      <c r="C99" s="121" t="s">
        <v>25</v>
      </c>
      <c r="D99" s="88" t="s">
        <v>26</v>
      </c>
      <c r="E99" s="121"/>
      <c r="F99" s="24" t="s">
        <v>1105</v>
      </c>
      <c r="G99" s="26" t="s">
        <v>78</v>
      </c>
      <c r="H99" s="122">
        <v>23000</v>
      </c>
      <c r="I99" s="123"/>
      <c r="J99" s="124"/>
      <c r="K99" s="125"/>
      <c r="L99" s="125"/>
      <c r="M99" s="46"/>
      <c r="N99" s="126"/>
      <c r="O99" s="126"/>
      <c r="P99" s="126"/>
      <c r="Q99" s="126"/>
      <c r="R99" s="126"/>
      <c r="S99" s="126"/>
      <c r="T99" s="128"/>
      <c r="U99" s="128"/>
      <c r="V99" s="129"/>
      <c r="W99" s="121"/>
      <c r="X99" s="121"/>
      <c r="Y99" s="121"/>
      <c r="Z99" s="121"/>
      <c r="AA99" s="121"/>
    </row>
    <row r="100" spans="1:27" ht="37.5">
      <c r="A100" s="141"/>
      <c r="B100" s="121">
        <v>4120</v>
      </c>
      <c r="C100" s="121" t="s">
        <v>25</v>
      </c>
      <c r="D100" s="88" t="s">
        <v>26</v>
      </c>
      <c r="E100" s="142"/>
      <c r="F100" s="24" t="s">
        <v>1106</v>
      </c>
      <c r="G100" s="26" t="s">
        <v>78</v>
      </c>
      <c r="H100" s="122">
        <v>28600</v>
      </c>
      <c r="I100" s="139"/>
      <c r="J100" s="143"/>
      <c r="K100" s="143"/>
      <c r="L100" s="143"/>
      <c r="M100" s="142"/>
      <c r="N100" s="142"/>
      <c r="O100" s="142"/>
      <c r="P100" s="142"/>
      <c r="Q100" s="142"/>
      <c r="R100" s="142"/>
      <c r="S100" s="142"/>
      <c r="T100" s="142"/>
      <c r="U100" s="142"/>
      <c r="V100" s="129" t="str">
        <f t="shared" ref="V100:V109" si="17">LEFT(B100, SEARCH("",B100,3))</f>
        <v>412</v>
      </c>
      <c r="W100" s="121">
        <f t="shared" ref="W100:W109" si="18">COUNTIF($V$4:$V408,V100)-1</f>
        <v>9</v>
      </c>
      <c r="X100" s="142"/>
      <c r="Y100" s="142"/>
      <c r="Z100" s="142"/>
      <c r="AA100" s="121"/>
    </row>
    <row r="101" spans="1:27" ht="37.5">
      <c r="A101" s="141"/>
      <c r="B101" s="121">
        <v>4120</v>
      </c>
      <c r="C101" s="121" t="s">
        <v>25</v>
      </c>
      <c r="D101" s="88" t="s">
        <v>26</v>
      </c>
      <c r="E101" s="142"/>
      <c r="F101" s="24" t="s">
        <v>1110</v>
      </c>
      <c r="G101" s="26" t="s">
        <v>78</v>
      </c>
      <c r="H101" s="122">
        <v>30600</v>
      </c>
      <c r="I101" s="139"/>
      <c r="J101" s="143"/>
      <c r="K101" s="143"/>
      <c r="L101" s="143"/>
      <c r="M101" s="142"/>
      <c r="N101" s="142"/>
      <c r="O101" s="142"/>
      <c r="P101" s="142"/>
      <c r="Q101" s="142"/>
      <c r="R101" s="142"/>
      <c r="S101" s="142"/>
      <c r="T101" s="142"/>
      <c r="U101" s="142"/>
      <c r="V101" s="129" t="str">
        <f t="shared" si="17"/>
        <v>412</v>
      </c>
      <c r="W101" s="121">
        <f t="shared" si="18"/>
        <v>9</v>
      </c>
      <c r="X101" s="142"/>
      <c r="Y101" s="142"/>
      <c r="Z101" s="142"/>
      <c r="AA101" s="121"/>
    </row>
    <row r="102" spans="1:27" ht="37.5">
      <c r="A102" s="141"/>
      <c r="B102" s="121">
        <v>4120</v>
      </c>
      <c r="C102" s="121" t="s">
        <v>25</v>
      </c>
      <c r="D102" s="88" t="s">
        <v>26</v>
      </c>
      <c r="E102" s="142"/>
      <c r="F102" s="24" t="s">
        <v>1113</v>
      </c>
      <c r="G102" s="26" t="s">
        <v>78</v>
      </c>
      <c r="H102" s="122">
        <v>32400</v>
      </c>
      <c r="I102" s="139"/>
      <c r="J102" s="143"/>
      <c r="K102" s="143"/>
      <c r="L102" s="143"/>
      <c r="M102" s="142"/>
      <c r="N102" s="142"/>
      <c r="O102" s="142"/>
      <c r="P102" s="142"/>
      <c r="Q102" s="142"/>
      <c r="R102" s="142"/>
      <c r="S102" s="142"/>
      <c r="T102" s="142"/>
      <c r="U102" s="142"/>
      <c r="V102" s="129" t="str">
        <f t="shared" si="17"/>
        <v>412</v>
      </c>
      <c r="W102" s="121">
        <f t="shared" si="18"/>
        <v>9</v>
      </c>
      <c r="X102" s="142"/>
      <c r="Y102" s="142"/>
      <c r="Z102" s="142"/>
      <c r="AA102" s="121"/>
    </row>
    <row r="103" spans="1:27" ht="37.5">
      <c r="A103" s="141"/>
      <c r="B103" s="121">
        <v>4120</v>
      </c>
      <c r="C103" s="121" t="s">
        <v>25</v>
      </c>
      <c r="D103" s="88" t="s">
        <v>26</v>
      </c>
      <c r="E103" s="142"/>
      <c r="F103" s="24" t="s">
        <v>1114</v>
      </c>
      <c r="G103" s="26" t="s">
        <v>78</v>
      </c>
      <c r="H103" s="122">
        <v>40200</v>
      </c>
      <c r="I103" s="139"/>
      <c r="J103" s="143"/>
      <c r="K103" s="143"/>
      <c r="L103" s="143"/>
      <c r="M103" s="142"/>
      <c r="N103" s="142"/>
      <c r="O103" s="142"/>
      <c r="P103" s="142"/>
      <c r="Q103" s="142"/>
      <c r="R103" s="142"/>
      <c r="S103" s="142"/>
      <c r="T103" s="142"/>
      <c r="U103" s="142"/>
      <c r="V103" s="129" t="str">
        <f t="shared" si="17"/>
        <v>412</v>
      </c>
      <c r="W103" s="121">
        <f t="shared" si="18"/>
        <v>9</v>
      </c>
      <c r="X103" s="142"/>
      <c r="Y103" s="142"/>
      <c r="Z103" s="142"/>
      <c r="AA103" s="121"/>
    </row>
    <row r="104" spans="1:27" ht="37.5">
      <c r="A104" s="141"/>
      <c r="B104" s="121">
        <v>4120</v>
      </c>
      <c r="C104" s="121" t="s">
        <v>25</v>
      </c>
      <c r="D104" s="88" t="s">
        <v>26</v>
      </c>
      <c r="E104" s="142"/>
      <c r="F104" s="24" t="s">
        <v>1117</v>
      </c>
      <c r="G104" s="26" t="s">
        <v>78</v>
      </c>
      <c r="H104" s="122">
        <v>47000</v>
      </c>
      <c r="I104" s="139"/>
      <c r="J104" s="143"/>
      <c r="K104" s="143"/>
      <c r="L104" s="143"/>
      <c r="M104" s="24"/>
      <c r="N104" s="142"/>
      <c r="O104" s="142"/>
      <c r="P104" s="142"/>
      <c r="Q104" s="142"/>
      <c r="R104" s="142"/>
      <c r="S104" s="142"/>
      <c r="T104" s="142"/>
      <c r="U104" s="142"/>
      <c r="V104" s="129" t="str">
        <f t="shared" si="17"/>
        <v>412</v>
      </c>
      <c r="W104" s="121">
        <f t="shared" si="18"/>
        <v>9</v>
      </c>
      <c r="X104" s="142"/>
      <c r="Y104" s="142"/>
      <c r="Z104" s="142"/>
      <c r="AA104" s="121"/>
    </row>
    <row r="105" spans="1:27" ht="37.5">
      <c r="A105" s="141"/>
      <c r="B105" s="121">
        <v>4120</v>
      </c>
      <c r="C105" s="121" t="s">
        <v>25</v>
      </c>
      <c r="D105" s="88" t="s">
        <v>26</v>
      </c>
      <c r="E105" s="142"/>
      <c r="F105" s="24" t="s">
        <v>1118</v>
      </c>
      <c r="G105" s="26" t="s">
        <v>78</v>
      </c>
      <c r="H105" s="122">
        <v>51200</v>
      </c>
      <c r="I105" s="139"/>
      <c r="J105" s="143"/>
      <c r="K105" s="143"/>
      <c r="L105" s="143"/>
      <c r="M105" s="24"/>
      <c r="N105" s="142"/>
      <c r="O105" s="142"/>
      <c r="P105" s="142"/>
      <c r="Q105" s="142"/>
      <c r="R105" s="142"/>
      <c r="S105" s="142"/>
      <c r="T105" s="142"/>
      <c r="U105" s="142"/>
      <c r="V105" s="129" t="str">
        <f t="shared" si="17"/>
        <v>412</v>
      </c>
      <c r="W105" s="121">
        <f t="shared" si="18"/>
        <v>9</v>
      </c>
      <c r="X105" s="142"/>
      <c r="Y105" s="142"/>
      <c r="Z105" s="142"/>
      <c r="AA105" s="142"/>
    </row>
    <row r="106" spans="1:27" ht="37.5">
      <c r="A106" s="141"/>
      <c r="B106" s="121">
        <v>4120</v>
      </c>
      <c r="C106" s="121" t="s">
        <v>25</v>
      </c>
      <c r="D106" s="88" t="s">
        <v>26</v>
      </c>
      <c r="E106" s="142"/>
      <c r="F106" s="24" t="s">
        <v>1119</v>
      </c>
      <c r="G106" s="26" t="s">
        <v>78</v>
      </c>
      <c r="H106" s="122">
        <v>17000</v>
      </c>
      <c r="I106" s="139"/>
      <c r="J106" s="140" t="str">
        <f>HYPERLINK("https://drive.google.com/open?id=1uRKauPNhvZ-Kx2o2zLSRMFbmPZrJaKkb","จากบัญชีของ สน.งปฯ ธ.ค.61")</f>
        <v>จากบัญชีของ สน.งปฯ ธ.ค.61</v>
      </c>
      <c r="K106" s="143"/>
      <c r="L106" s="143"/>
      <c r="M106" s="142"/>
      <c r="N106" s="142"/>
      <c r="O106" s="142"/>
      <c r="P106" s="142"/>
      <c r="Q106" s="142"/>
      <c r="R106" s="142"/>
      <c r="S106" s="142"/>
      <c r="T106" s="142"/>
      <c r="U106" s="142"/>
      <c r="V106" s="129" t="str">
        <f t="shared" si="17"/>
        <v>412</v>
      </c>
      <c r="W106" s="121">
        <f t="shared" si="18"/>
        <v>9</v>
      </c>
      <c r="X106" s="142"/>
      <c r="Y106" s="142"/>
      <c r="Z106" s="142"/>
      <c r="AA106" s="121"/>
    </row>
    <row r="107" spans="1:27" ht="37.5">
      <c r="A107" s="141"/>
      <c r="B107" s="121">
        <v>4120</v>
      </c>
      <c r="C107" s="121" t="s">
        <v>25</v>
      </c>
      <c r="D107" s="88" t="s">
        <v>26</v>
      </c>
      <c r="E107" s="142"/>
      <c r="F107" s="24" t="s">
        <v>1122</v>
      </c>
      <c r="G107" s="26" t="s">
        <v>78</v>
      </c>
      <c r="H107" s="122">
        <v>21000</v>
      </c>
      <c r="I107" s="139"/>
      <c r="J107" s="140" t="str">
        <f>HYPERLINK("https://drive.google.com/open?id=1uRKauPNhvZ-Kx2o2zLSRMFbmPZrJaKkb","จากบัญชีของ สน.งปฯ ธ.ค.61")</f>
        <v>จากบัญชีของ สน.งปฯ ธ.ค.61</v>
      </c>
      <c r="K107" s="143"/>
      <c r="L107" s="143"/>
      <c r="M107" s="142"/>
      <c r="N107" s="142"/>
      <c r="O107" s="142"/>
      <c r="P107" s="142"/>
      <c r="Q107" s="142"/>
      <c r="R107" s="142"/>
      <c r="S107" s="142"/>
      <c r="T107" s="142"/>
      <c r="U107" s="142"/>
      <c r="V107" s="129" t="str">
        <f t="shared" si="17"/>
        <v>412</v>
      </c>
      <c r="W107" s="121">
        <f t="shared" si="18"/>
        <v>9</v>
      </c>
      <c r="X107" s="142"/>
      <c r="Y107" s="142"/>
      <c r="Z107" s="142"/>
      <c r="AA107" s="121"/>
    </row>
    <row r="108" spans="1:27" ht="37.5">
      <c r="A108" s="141"/>
      <c r="B108" s="121">
        <v>4120</v>
      </c>
      <c r="C108" s="121" t="s">
        <v>25</v>
      </c>
      <c r="D108" s="88" t="s">
        <v>26</v>
      </c>
      <c r="E108" s="142"/>
      <c r="F108" s="24" t="s">
        <v>1123</v>
      </c>
      <c r="G108" s="26" t="s">
        <v>78</v>
      </c>
      <c r="H108" s="122">
        <v>20000</v>
      </c>
      <c r="I108" s="139"/>
      <c r="J108" s="140" t="str">
        <f>HYPERLINK("https://drive.google.com/open?id=1uRKauPNhvZ-Kx2o2zLSRMFbmPZrJaKkb","จากบัญชีของ สน.งปฯ ธ.ค.61")</f>
        <v>จากบัญชีของ สน.งปฯ ธ.ค.61</v>
      </c>
      <c r="K108" s="143"/>
      <c r="L108" s="143"/>
      <c r="M108" s="142"/>
      <c r="N108" s="142"/>
      <c r="O108" s="142"/>
      <c r="P108" s="142"/>
      <c r="Q108" s="142"/>
      <c r="R108" s="142"/>
      <c r="S108" s="142"/>
      <c r="T108" s="142"/>
      <c r="U108" s="142"/>
      <c r="V108" s="129" t="str">
        <f t="shared" si="17"/>
        <v>412</v>
      </c>
      <c r="W108" s="121">
        <f t="shared" si="18"/>
        <v>9</v>
      </c>
      <c r="X108" s="142"/>
      <c r="Y108" s="142"/>
      <c r="Z108" s="142"/>
      <c r="AA108" s="24"/>
    </row>
    <row r="109" spans="1:27" ht="37.5">
      <c r="A109" s="141"/>
      <c r="B109" s="121">
        <v>4120</v>
      </c>
      <c r="C109" s="121" t="s">
        <v>25</v>
      </c>
      <c r="D109" s="88" t="s">
        <v>26</v>
      </c>
      <c r="E109" s="142"/>
      <c r="F109" s="24" t="s">
        <v>1124</v>
      </c>
      <c r="G109" s="26" t="s">
        <v>78</v>
      </c>
      <c r="H109" s="122">
        <v>28000</v>
      </c>
      <c r="I109" s="139"/>
      <c r="J109" s="140" t="str">
        <f>HYPERLINK("https://drive.google.com/open?id=1uRKauPNhvZ-Kx2o2zLSRMFbmPZrJaKkb","จากบัญชีของ สน.งปฯ ธ.ค.61")</f>
        <v>จากบัญชีของ สน.งปฯ ธ.ค.61</v>
      </c>
      <c r="K109" s="143"/>
      <c r="L109" s="143"/>
      <c r="M109" s="142"/>
      <c r="N109" s="142"/>
      <c r="O109" s="142"/>
      <c r="P109" s="142"/>
      <c r="Q109" s="142"/>
      <c r="R109" s="142"/>
      <c r="S109" s="142"/>
      <c r="T109" s="142"/>
      <c r="U109" s="142"/>
      <c r="V109" s="129" t="str">
        <f t="shared" si="17"/>
        <v>412</v>
      </c>
      <c r="W109" s="121">
        <f t="shared" si="18"/>
        <v>9</v>
      </c>
      <c r="X109" s="142"/>
      <c r="Y109" s="142"/>
      <c r="Z109" s="142"/>
      <c r="AA109" s="24"/>
    </row>
    <row r="110" spans="1:27" ht="18.75">
      <c r="A110" s="88"/>
      <c r="B110" s="121">
        <v>4120</v>
      </c>
      <c r="C110" s="121" t="s">
        <v>157</v>
      </c>
      <c r="D110" s="88" t="s">
        <v>668</v>
      </c>
      <c r="E110" s="121">
        <v>58</v>
      </c>
      <c r="F110" s="46" t="s">
        <v>669</v>
      </c>
      <c r="G110" s="26" t="s">
        <v>78</v>
      </c>
      <c r="H110" s="122">
        <v>210000</v>
      </c>
      <c r="I110" s="123"/>
      <c r="J110" s="124"/>
      <c r="K110" s="132" t="str">
        <f>HYPERLINK("https://drive.google.com/drive/folders/0BwQ57SNHxB3BRi1zZjFVWHN6b2c","4120")</f>
        <v>4120</v>
      </c>
      <c r="L110" s="125"/>
      <c r="M110" s="46"/>
      <c r="N110" s="126"/>
      <c r="O110" s="126"/>
      <c r="P110" s="126"/>
      <c r="Q110" s="126"/>
      <c r="R110" s="126"/>
      <c r="S110" s="126"/>
      <c r="T110" s="128">
        <v>20</v>
      </c>
      <c r="U110" s="128">
        <f t="shared" ref="U110:U116" si="19">E110+T110-2+2500</f>
        <v>2576</v>
      </c>
      <c r="V110" s="129" t="str">
        <f t="shared" ref="V110:V117" si="20">LEFT(B110, SEARCH("",B110,2))</f>
        <v>41</v>
      </c>
      <c r="W110" s="121">
        <f t="shared" ref="W110:W116" si="21">COUNTIF($V$4:$V$286,V110)-1</f>
        <v>21</v>
      </c>
      <c r="X110" s="121"/>
      <c r="Y110" s="121"/>
      <c r="Z110" s="121"/>
      <c r="AA110" s="121"/>
    </row>
    <row r="111" spans="1:27" ht="18.75">
      <c r="A111" s="88"/>
      <c r="B111" s="121">
        <v>4120</v>
      </c>
      <c r="C111" s="121" t="s">
        <v>157</v>
      </c>
      <c r="D111" s="88" t="s">
        <v>670</v>
      </c>
      <c r="E111" s="121">
        <v>58</v>
      </c>
      <c r="F111" s="46" t="s">
        <v>671</v>
      </c>
      <c r="G111" s="26" t="s">
        <v>78</v>
      </c>
      <c r="H111" s="122">
        <v>295000</v>
      </c>
      <c r="I111" s="123"/>
      <c r="J111" s="130" t="str">
        <f>HYPERLINK("https://drive.google.com/open?id=0B2vBTVEfSzItM1ZIRDlhVlZjSUE","4120")</f>
        <v>4120</v>
      </c>
      <c r="K111" s="132" t="str">
        <f>HYPERLINK("https://drive.google.com/drive/folders/0BwQ57SNHxB3BRi1zZjFVWHN6b2c","4120")</f>
        <v>4120</v>
      </c>
      <c r="L111" s="125"/>
      <c r="M111" s="46"/>
      <c r="N111" s="126"/>
      <c r="O111" s="126"/>
      <c r="P111" s="126"/>
      <c r="Q111" s="126"/>
      <c r="R111" s="126"/>
      <c r="S111" s="126"/>
      <c r="T111" s="128">
        <v>20</v>
      </c>
      <c r="U111" s="128">
        <f t="shared" si="19"/>
        <v>2576</v>
      </c>
      <c r="V111" s="129" t="str">
        <f t="shared" si="20"/>
        <v>41</v>
      </c>
      <c r="W111" s="121">
        <f t="shared" si="21"/>
        <v>21</v>
      </c>
      <c r="X111" s="121"/>
      <c r="Y111" s="121"/>
      <c r="Z111" s="121"/>
      <c r="AA111" s="121"/>
    </row>
    <row r="112" spans="1:27" ht="18.75">
      <c r="A112" s="88"/>
      <c r="B112" s="121">
        <v>4120</v>
      </c>
      <c r="C112" s="121" t="s">
        <v>157</v>
      </c>
      <c r="D112" s="88" t="s">
        <v>672</v>
      </c>
      <c r="E112" s="121">
        <v>58</v>
      </c>
      <c r="F112" s="46" t="s">
        <v>673</v>
      </c>
      <c r="G112" s="26" t="s">
        <v>78</v>
      </c>
      <c r="H112" s="122">
        <v>385000</v>
      </c>
      <c r="I112" s="123"/>
      <c r="J112" s="130" t="str">
        <f>HYPERLINK("https://drive.google.com/open?id=0B2vBTVEfSzItUWtqd2xVX1JCTFE","4120")</f>
        <v>4120</v>
      </c>
      <c r="K112" s="132" t="str">
        <f>HYPERLINK("https://drive.google.com/drive/folders/0BwQ57SNHxB3BRi1zZjFVWHN6b2c","4120")</f>
        <v>4120</v>
      </c>
      <c r="L112" s="125"/>
      <c r="M112" s="46"/>
      <c r="N112" s="126"/>
      <c r="O112" s="126"/>
      <c r="P112" s="126"/>
      <c r="Q112" s="126"/>
      <c r="R112" s="126"/>
      <c r="S112" s="126"/>
      <c r="T112" s="128">
        <v>20</v>
      </c>
      <c r="U112" s="128">
        <f t="shared" si="19"/>
        <v>2576</v>
      </c>
      <c r="V112" s="129" t="str">
        <f t="shared" si="20"/>
        <v>41</v>
      </c>
      <c r="W112" s="121">
        <f t="shared" si="21"/>
        <v>21</v>
      </c>
      <c r="X112" s="121"/>
      <c r="Y112" s="121"/>
      <c r="Z112" s="121"/>
      <c r="AA112" s="121"/>
    </row>
    <row r="113" spans="1:27" ht="18.75">
      <c r="A113" s="88"/>
      <c r="B113" s="121">
        <v>4120</v>
      </c>
      <c r="C113" s="121" t="s">
        <v>157</v>
      </c>
      <c r="D113" s="88" t="s">
        <v>674</v>
      </c>
      <c r="E113" s="121">
        <v>59</v>
      </c>
      <c r="F113" s="46" t="s">
        <v>675</v>
      </c>
      <c r="G113" s="26" t="s">
        <v>78</v>
      </c>
      <c r="H113" s="122">
        <v>750000</v>
      </c>
      <c r="I113" s="123"/>
      <c r="J113" s="130" t="str">
        <f>HYPERLINK("https://drive.google.com/open?id=0B2vBTVEfSzIta1ZwVU9oT3liOVk","4120")</f>
        <v>4120</v>
      </c>
      <c r="K113" s="132" t="str">
        <f>HYPERLINK("https://drive.google.com/drive/folders/0BwQ57SNHxB3BRi1zZjFVWHN6b2c","4120")</f>
        <v>4120</v>
      </c>
      <c r="L113" s="125"/>
      <c r="M113" s="46"/>
      <c r="N113" s="126"/>
      <c r="O113" s="126"/>
      <c r="P113" s="126"/>
      <c r="Q113" s="126"/>
      <c r="R113" s="126"/>
      <c r="S113" s="126"/>
      <c r="T113" s="128"/>
      <c r="U113" s="128">
        <f t="shared" si="19"/>
        <v>2557</v>
      </c>
      <c r="V113" s="129" t="str">
        <f t="shared" si="20"/>
        <v>41</v>
      </c>
      <c r="W113" s="121">
        <f t="shared" si="21"/>
        <v>21</v>
      </c>
      <c r="X113" s="121"/>
      <c r="Y113" s="121"/>
      <c r="Z113" s="121"/>
      <c r="AA113" s="142"/>
    </row>
    <row r="114" spans="1:27" ht="18.75">
      <c r="A114" s="88"/>
      <c r="B114" s="121">
        <v>4140</v>
      </c>
      <c r="C114" s="121" t="s">
        <v>157</v>
      </c>
      <c r="D114" s="88" t="s">
        <v>676</v>
      </c>
      <c r="E114" s="121">
        <v>52</v>
      </c>
      <c r="F114" s="46" t="s">
        <v>677</v>
      </c>
      <c r="G114" s="26" t="s">
        <v>78</v>
      </c>
      <c r="H114" s="122">
        <v>12000</v>
      </c>
      <c r="I114" s="123"/>
      <c r="J114" s="130" t="str">
        <f>HYPERLINK("https://drive.google.com/open?id=0B2rLR4BADrBtaXltMVBlREhyWE0","4140")</f>
        <v>4140</v>
      </c>
      <c r="K114" s="132" t="str">
        <f>HYPERLINK("https://drive.google.com/drive/folders/0BwQ57SNHxB3BRHd1bXpsczNtaXM","4140")</f>
        <v>4140</v>
      </c>
      <c r="L114" s="125"/>
      <c r="M114" s="46"/>
      <c r="N114" s="126"/>
      <c r="O114" s="126"/>
      <c r="P114" s="126"/>
      <c r="Q114" s="126"/>
      <c r="R114" s="126"/>
      <c r="S114" s="126"/>
      <c r="T114" s="128">
        <v>15</v>
      </c>
      <c r="U114" s="128">
        <f t="shared" si="19"/>
        <v>2565</v>
      </c>
      <c r="V114" s="129" t="str">
        <f t="shared" si="20"/>
        <v>41</v>
      </c>
      <c r="W114" s="121">
        <f t="shared" si="21"/>
        <v>21</v>
      </c>
      <c r="X114" s="121"/>
      <c r="Y114" s="121"/>
      <c r="Z114" s="121"/>
      <c r="AA114" s="121"/>
    </row>
    <row r="115" spans="1:27" ht="18.75">
      <c r="A115" s="88"/>
      <c r="B115" s="121">
        <v>4140</v>
      </c>
      <c r="C115" s="121" t="s">
        <v>372</v>
      </c>
      <c r="D115" s="88" t="s">
        <v>678</v>
      </c>
      <c r="E115" s="121">
        <v>56</v>
      </c>
      <c r="F115" s="46" t="s">
        <v>679</v>
      </c>
      <c r="G115" s="26" t="s">
        <v>48</v>
      </c>
      <c r="H115" s="122">
        <v>35000</v>
      </c>
      <c r="I115" s="123"/>
      <c r="J115" s="130" t="str">
        <f>HYPERLINK("https://drive.google.com/open?id=0B2rLR4BADrBtVURWQzBTWEwyOFU","4140")</f>
        <v>4140</v>
      </c>
      <c r="K115" s="132" t="str">
        <f>HYPERLINK("https://drive.google.com/drive/folders/0BwQ57SNHxB3BRHd1bXpsczNtaXM","4140")</f>
        <v>4140</v>
      </c>
      <c r="L115" s="88" t="s">
        <v>680</v>
      </c>
      <c r="M115" s="46"/>
      <c r="N115" s="126"/>
      <c r="O115" s="126"/>
      <c r="P115" s="126"/>
      <c r="Q115" s="126"/>
      <c r="R115" s="126"/>
      <c r="S115" s="126"/>
      <c r="T115" s="128">
        <v>15</v>
      </c>
      <c r="U115" s="128">
        <f t="shared" si="19"/>
        <v>2569</v>
      </c>
      <c r="V115" s="129" t="str">
        <f t="shared" si="20"/>
        <v>41</v>
      </c>
      <c r="W115" s="121">
        <f t="shared" si="21"/>
        <v>21</v>
      </c>
      <c r="X115" s="121" t="s">
        <v>548</v>
      </c>
      <c r="Y115" s="121"/>
      <c r="Z115" s="121"/>
      <c r="AA115" s="121"/>
    </row>
    <row r="116" spans="1:27" ht="37.5">
      <c r="A116" s="88"/>
      <c r="B116" s="121">
        <v>4140</v>
      </c>
      <c r="C116" s="121" t="s">
        <v>157</v>
      </c>
      <c r="D116" s="88" t="s">
        <v>681</v>
      </c>
      <c r="E116" s="121">
        <v>58</v>
      </c>
      <c r="F116" s="46" t="s">
        <v>682</v>
      </c>
      <c r="G116" s="26" t="s">
        <v>78</v>
      </c>
      <c r="H116" s="122">
        <v>19500</v>
      </c>
      <c r="I116" s="123"/>
      <c r="J116" s="130" t="str">
        <f>HYPERLINK("https://drive.google.com/open?id=0B2vBTVEfSzItbjNiZ2pTb3ZlZ2s","4140")</f>
        <v>4140</v>
      </c>
      <c r="K116" s="132" t="str">
        <f>HYPERLINK("https://drive.google.com/drive/folders/0BwQ57SNHxB3BRHd1bXpsczNtaXM","4140")</f>
        <v>4140</v>
      </c>
      <c r="L116" s="125"/>
      <c r="M116" s="46"/>
      <c r="N116" s="126"/>
      <c r="O116" s="126"/>
      <c r="P116" s="126"/>
      <c r="Q116" s="126"/>
      <c r="R116" s="126"/>
      <c r="S116" s="126"/>
      <c r="T116" s="128"/>
      <c r="U116" s="128">
        <f t="shared" si="19"/>
        <v>2556</v>
      </c>
      <c r="V116" s="129" t="str">
        <f t="shared" si="20"/>
        <v>41</v>
      </c>
      <c r="W116" s="121">
        <f t="shared" si="21"/>
        <v>21</v>
      </c>
      <c r="X116" s="121"/>
      <c r="Y116" s="121"/>
      <c r="Z116" s="121"/>
      <c r="AA116" s="121"/>
    </row>
    <row r="117" spans="1:27" ht="18.75">
      <c r="A117" s="117"/>
      <c r="B117" s="117">
        <v>4200</v>
      </c>
      <c r="C117" s="117"/>
      <c r="D117" s="117" t="str">
        <f>"พัสดุ"&amp; VLOOKUP(V117,'เลขSpec.2 ตัวแรก'!$A$2:$B$100,2,FALSE)&amp; " จำนวน "&amp;W117&amp;" รายการ"</f>
        <v>พัสดุหมวด 42 บริภัณฑ์ดับเพลิง กู้ภัยและนิรภัย จำนวน 8 รายการ</v>
      </c>
      <c r="E117" s="117"/>
      <c r="F117" s="119"/>
      <c r="G117" s="119"/>
      <c r="H117" s="119"/>
      <c r="I117" s="117"/>
      <c r="J117" s="117"/>
      <c r="K117" s="117"/>
      <c r="L117" s="118"/>
      <c r="M117" s="117"/>
      <c r="N117" s="117"/>
      <c r="O117" s="117"/>
      <c r="P117" s="117"/>
      <c r="Q117" s="117"/>
      <c r="R117" s="119"/>
      <c r="S117" s="119"/>
      <c r="T117" s="119"/>
      <c r="U117" s="117"/>
      <c r="V117" s="117" t="str">
        <f t="shared" si="20"/>
        <v>42</v>
      </c>
      <c r="W117" s="117">
        <f>COUNTIF($V$2:$V$286,V117)-1</f>
        <v>8</v>
      </c>
      <c r="X117" s="118"/>
      <c r="Y117" s="24"/>
      <c r="Z117" s="24"/>
      <c r="AA117" s="121"/>
    </row>
    <row r="118" spans="1:27" ht="18.75">
      <c r="A118" s="88"/>
      <c r="B118" s="121">
        <v>4210</v>
      </c>
      <c r="C118" s="121" t="s">
        <v>683</v>
      </c>
      <c r="D118" s="88" t="s">
        <v>684</v>
      </c>
      <c r="E118" s="121">
        <v>62</v>
      </c>
      <c r="F118" s="46" t="s">
        <v>685</v>
      </c>
      <c r="G118" s="26" t="s">
        <v>78</v>
      </c>
      <c r="H118" s="122">
        <v>12000</v>
      </c>
      <c r="I118" s="123"/>
      <c r="J118" s="130" t="str">
        <f>HYPERLINK("https://drive.google.com/open?id=1B1Cb4onzGYSs63hXv3XkOUGd338dY7x8","4210")</f>
        <v>4210</v>
      </c>
      <c r="K118" s="125"/>
      <c r="L118" s="125"/>
      <c r="M118" s="46"/>
      <c r="N118" s="126"/>
      <c r="O118" s="126"/>
      <c r="P118" s="126"/>
      <c r="Q118" s="126"/>
      <c r="R118" s="126"/>
      <c r="S118" s="126"/>
      <c r="T118" s="135"/>
      <c r="U118" s="128"/>
      <c r="V118" s="129"/>
      <c r="W118" s="121"/>
      <c r="X118" s="121"/>
      <c r="Y118" s="121"/>
      <c r="Z118" s="121"/>
      <c r="AA118" s="142"/>
    </row>
    <row r="119" spans="1:27" ht="18.75">
      <c r="A119" s="88"/>
      <c r="B119" s="121">
        <v>4210</v>
      </c>
      <c r="C119" s="121" t="s">
        <v>683</v>
      </c>
      <c r="D119" s="88" t="s">
        <v>686</v>
      </c>
      <c r="E119" s="121">
        <v>62</v>
      </c>
      <c r="F119" s="46" t="s">
        <v>687</v>
      </c>
      <c r="G119" s="26" t="s">
        <v>78</v>
      </c>
      <c r="H119" s="122">
        <v>15000</v>
      </c>
      <c r="I119" s="123"/>
      <c r="J119" s="130" t="str">
        <f>HYPERLINK("https://drive.google.com/open?id=1Dw-glgdH9YW7s62NQ0II496Pr8n70jxp","4210")</f>
        <v>4210</v>
      </c>
      <c r="K119" s="125"/>
      <c r="L119" s="125"/>
      <c r="M119" s="46"/>
      <c r="N119" s="126"/>
      <c r="O119" s="126"/>
      <c r="P119" s="126"/>
      <c r="Q119" s="126"/>
      <c r="R119" s="126"/>
      <c r="S119" s="126"/>
      <c r="T119" s="135"/>
      <c r="U119" s="128"/>
      <c r="V119" s="129"/>
      <c r="W119" s="121"/>
      <c r="X119" s="121"/>
      <c r="Y119" s="121"/>
      <c r="Z119" s="121"/>
      <c r="AA119" s="142"/>
    </row>
    <row r="120" spans="1:27" ht="18.75">
      <c r="A120" s="88"/>
      <c r="B120" s="121">
        <v>4210</v>
      </c>
      <c r="C120" s="121" t="s">
        <v>683</v>
      </c>
      <c r="D120" s="88" t="s">
        <v>688</v>
      </c>
      <c r="E120" s="121">
        <v>60</v>
      </c>
      <c r="F120" s="46" t="s">
        <v>689</v>
      </c>
      <c r="G120" s="26" t="s">
        <v>28</v>
      </c>
      <c r="H120" s="122">
        <v>6900000</v>
      </c>
      <c r="I120" s="123"/>
      <c r="J120" s="130" t="str">
        <f>HYPERLINK("https://drive.google.com/open?id=0B2vBTVEfSzItUDMzUmN6U3BqZWM","4210")</f>
        <v>4210</v>
      </c>
      <c r="K120" s="125"/>
      <c r="L120" s="125"/>
      <c r="M120" s="46"/>
      <c r="N120" s="126"/>
      <c r="O120" s="126"/>
      <c r="P120" s="126"/>
      <c r="Q120" s="126"/>
      <c r="R120" s="126"/>
      <c r="S120" s="126"/>
      <c r="T120" s="135"/>
      <c r="U120" s="135">
        <f>E120+T120-2+2500</f>
        <v>2558</v>
      </c>
      <c r="V120" s="129" t="str">
        <f>LEFT(B120, SEARCH("",B120,2))</f>
        <v>42</v>
      </c>
      <c r="W120" s="121">
        <f>COUNTIF($V$4:$V$286,V120)-1</f>
        <v>8</v>
      </c>
      <c r="X120" s="121"/>
      <c r="Y120" s="121"/>
      <c r="Z120" s="121"/>
      <c r="AA120" s="142"/>
    </row>
    <row r="121" spans="1:27" ht="18.75">
      <c r="A121" s="88"/>
      <c r="B121" s="121">
        <v>4210</v>
      </c>
      <c r="C121" s="121" t="s">
        <v>683</v>
      </c>
      <c r="D121" s="88" t="s">
        <v>692</v>
      </c>
      <c r="E121" s="121">
        <v>60</v>
      </c>
      <c r="F121" s="46" t="s">
        <v>693</v>
      </c>
      <c r="G121" s="26" t="s">
        <v>28</v>
      </c>
      <c r="H121" s="122">
        <v>2500000</v>
      </c>
      <c r="I121" s="123"/>
      <c r="J121" s="130" t="str">
        <f>HYPERLINK("https://drive.google.com/open?id=0B2vBTVEfSzItX0lEQXlyOS1LV00","4210")</f>
        <v>4210</v>
      </c>
      <c r="K121" s="125"/>
      <c r="L121" s="125"/>
      <c r="M121" s="46"/>
      <c r="N121" s="126"/>
      <c r="O121" s="126"/>
      <c r="P121" s="126"/>
      <c r="Q121" s="126"/>
      <c r="R121" s="126"/>
      <c r="S121" s="126"/>
      <c r="T121" s="135"/>
      <c r="U121" s="135">
        <f>E121+T121-2+2500</f>
        <v>2558</v>
      </c>
      <c r="V121" s="129" t="str">
        <f>LEFT(B121, SEARCH("",B121,2))</f>
        <v>42</v>
      </c>
      <c r="W121" s="121">
        <f>COUNTIF('สำเนาของ 52-62 (สำหรับ จก.ตรวจเ'!$V$4:$V$286,V121)-1</f>
        <v>8</v>
      </c>
      <c r="X121" s="121"/>
      <c r="Y121" s="121"/>
      <c r="Z121" s="121"/>
      <c r="AA121" s="142"/>
    </row>
    <row r="122" spans="1:27" ht="18.75">
      <c r="A122" s="88"/>
      <c r="B122" s="121">
        <v>4210</v>
      </c>
      <c r="C122" s="121" t="s">
        <v>683</v>
      </c>
      <c r="D122" s="88" t="s">
        <v>694</v>
      </c>
      <c r="E122" s="121">
        <v>59</v>
      </c>
      <c r="F122" s="46" t="s">
        <v>695</v>
      </c>
      <c r="G122" s="26" t="s">
        <v>28</v>
      </c>
      <c r="H122" s="122">
        <v>32000000</v>
      </c>
      <c r="I122" s="123">
        <v>42591</v>
      </c>
      <c r="J122" s="130" t="str">
        <f>HYPERLINK("https://drive.google.com/open?id=0B2vBTVEfSzItWWxNaU9GNFZ0YkU","4210")</f>
        <v>4210</v>
      </c>
      <c r="K122" s="125"/>
      <c r="L122" s="125"/>
      <c r="M122" s="46"/>
      <c r="N122" s="126"/>
      <c r="O122" s="126"/>
      <c r="P122" s="126"/>
      <c r="Q122" s="126"/>
      <c r="R122" s="126"/>
      <c r="S122" s="126"/>
      <c r="T122" s="135"/>
      <c r="U122" s="135">
        <f>E122+T122-2+2500</f>
        <v>2557</v>
      </c>
      <c r="V122" s="129" t="str">
        <f>LEFT(B122, SEARCH("",B122,2))</f>
        <v>42</v>
      </c>
      <c r="W122" s="121">
        <f>COUNTIF($V$4:$V$286,V122)-1</f>
        <v>8</v>
      </c>
      <c r="X122" s="121"/>
      <c r="Y122" s="121"/>
      <c r="Z122" s="121"/>
      <c r="AA122" s="121"/>
    </row>
    <row r="123" spans="1:27" ht="18.75">
      <c r="A123" s="88"/>
      <c r="B123" s="121">
        <v>4210</v>
      </c>
      <c r="C123" s="121" t="s">
        <v>683</v>
      </c>
      <c r="D123" s="88" t="s">
        <v>696</v>
      </c>
      <c r="E123" s="121">
        <v>59</v>
      </c>
      <c r="F123" s="46" t="s">
        <v>697</v>
      </c>
      <c r="G123" s="26" t="s">
        <v>28</v>
      </c>
      <c r="H123" s="122">
        <v>12000000</v>
      </c>
      <c r="I123" s="123">
        <v>42591</v>
      </c>
      <c r="J123" s="124"/>
      <c r="K123" s="125"/>
      <c r="L123" s="125"/>
      <c r="M123" s="46"/>
      <c r="N123" s="126"/>
      <c r="O123" s="126"/>
      <c r="P123" s="126"/>
      <c r="Q123" s="126"/>
      <c r="R123" s="126"/>
      <c r="S123" s="126"/>
      <c r="T123" s="135"/>
      <c r="U123" s="135">
        <f>E123+T123-2+2500</f>
        <v>2557</v>
      </c>
      <c r="V123" s="129" t="str">
        <f>LEFT(B123, SEARCH("",B123,2))</f>
        <v>42</v>
      </c>
      <c r="W123" s="121">
        <f>COUNTIF($V$4:$V$286,V123)-1</f>
        <v>8</v>
      </c>
      <c r="X123" s="121"/>
      <c r="Y123" s="121"/>
      <c r="Z123" s="121"/>
      <c r="AA123" s="121"/>
    </row>
    <row r="124" spans="1:27" ht="18.75">
      <c r="A124" s="141"/>
      <c r="B124" s="121">
        <v>4210</v>
      </c>
      <c r="C124" s="121" t="s">
        <v>683</v>
      </c>
      <c r="D124" s="88" t="s">
        <v>698</v>
      </c>
      <c r="E124" s="121">
        <v>62</v>
      </c>
      <c r="F124" s="46" t="s">
        <v>699</v>
      </c>
      <c r="G124" s="26" t="s">
        <v>28</v>
      </c>
      <c r="H124" s="122">
        <v>7000000</v>
      </c>
      <c r="I124" s="123"/>
      <c r="J124" s="124"/>
      <c r="K124" s="125"/>
      <c r="L124" s="125"/>
      <c r="M124" s="46"/>
      <c r="N124" s="126"/>
      <c r="O124" s="126"/>
      <c r="P124" s="126"/>
      <c r="Q124" s="126"/>
      <c r="R124" s="126"/>
      <c r="S124" s="126"/>
      <c r="T124" s="135"/>
      <c r="U124" s="128"/>
      <c r="V124" s="129"/>
      <c r="W124" s="121"/>
      <c r="X124" s="121"/>
      <c r="Y124" s="121"/>
      <c r="Z124" s="121"/>
      <c r="AA124" s="121"/>
    </row>
    <row r="125" spans="1:27" ht="18.75">
      <c r="A125" s="88"/>
      <c r="B125" s="121">
        <v>4210</v>
      </c>
      <c r="C125" s="121" t="s">
        <v>37</v>
      </c>
      <c r="D125" s="88" t="s">
        <v>702</v>
      </c>
      <c r="E125" s="121">
        <v>58</v>
      </c>
      <c r="F125" s="46" t="s">
        <v>703</v>
      </c>
      <c r="G125" s="26" t="s">
        <v>704</v>
      </c>
      <c r="H125" s="122">
        <v>1490000</v>
      </c>
      <c r="I125" s="123"/>
      <c r="J125" s="130" t="str">
        <f>HYPERLINK("https://drive.google.com/open?id=0B2vBTVEfSzItZ1RXV3p2S18xSUE","4210")</f>
        <v>4210</v>
      </c>
      <c r="K125" s="132" t="str">
        <f>HYPERLINK("https://drive.google.com/drive/folders/0BwN2QqBc2z4Qfmtfdk5jMzM5Qml2c0t5YmJTblNUU1c4MEItN2tEWDV5MG1WQ0prdHBtWUk","4210")</f>
        <v>4210</v>
      </c>
      <c r="L125" s="125"/>
      <c r="M125" s="46"/>
      <c r="N125" s="126"/>
      <c r="O125" s="126"/>
      <c r="P125" s="126"/>
      <c r="Q125" s="126"/>
      <c r="R125" s="126"/>
      <c r="S125" s="126"/>
      <c r="T125" s="128"/>
      <c r="U125" s="128">
        <f>E125+T125-2+2500</f>
        <v>2556</v>
      </c>
      <c r="V125" s="129" t="str">
        <f>LEFT(B125, SEARCH("",B125,2))</f>
        <v>42</v>
      </c>
      <c r="W125" s="121">
        <f>COUNTIF($V$4:$V$286,V125)-1</f>
        <v>8</v>
      </c>
      <c r="X125" s="121"/>
      <c r="Y125" s="121"/>
      <c r="Z125" s="121"/>
      <c r="AA125" s="121"/>
    </row>
    <row r="126" spans="1:27" ht="37.5">
      <c r="A126" s="88"/>
      <c r="B126" s="121">
        <v>4210</v>
      </c>
      <c r="C126" s="121" t="s">
        <v>683</v>
      </c>
      <c r="D126" s="88" t="s">
        <v>705</v>
      </c>
      <c r="E126" s="121">
        <v>62</v>
      </c>
      <c r="F126" s="46" t="s">
        <v>706</v>
      </c>
      <c r="G126" s="26" t="s">
        <v>707</v>
      </c>
      <c r="H126" s="122">
        <v>14700</v>
      </c>
      <c r="I126" s="123"/>
      <c r="J126" s="124"/>
      <c r="K126" s="125"/>
      <c r="L126" s="125"/>
      <c r="M126" s="46"/>
      <c r="N126" s="126"/>
      <c r="O126" s="126"/>
      <c r="P126" s="126"/>
      <c r="Q126" s="126"/>
      <c r="R126" s="126"/>
      <c r="S126" s="126"/>
      <c r="T126" s="128"/>
      <c r="U126" s="128"/>
      <c r="V126" s="129"/>
      <c r="W126" s="121"/>
      <c r="X126" s="121"/>
      <c r="Y126" s="121"/>
      <c r="Z126" s="121"/>
      <c r="AA126" s="121"/>
    </row>
    <row r="127" spans="1:27" ht="37.5">
      <c r="A127" s="88"/>
      <c r="B127" s="121">
        <v>4210</v>
      </c>
      <c r="C127" s="121" t="s">
        <v>683</v>
      </c>
      <c r="D127" s="88" t="s">
        <v>708</v>
      </c>
      <c r="E127" s="121">
        <v>62</v>
      </c>
      <c r="F127" s="46" t="s">
        <v>709</v>
      </c>
      <c r="G127" s="26" t="s">
        <v>707</v>
      </c>
      <c r="H127" s="122">
        <v>16200</v>
      </c>
      <c r="I127" s="123"/>
      <c r="J127" s="124"/>
      <c r="K127" s="125"/>
      <c r="L127" s="125"/>
      <c r="M127" s="46"/>
      <c r="N127" s="126"/>
      <c r="O127" s="126"/>
      <c r="P127" s="126"/>
      <c r="Q127" s="126"/>
      <c r="R127" s="126"/>
      <c r="S127" s="126"/>
      <c r="T127" s="128"/>
      <c r="U127" s="128"/>
      <c r="V127" s="129"/>
      <c r="W127" s="121"/>
      <c r="X127" s="121"/>
      <c r="Y127" s="121"/>
      <c r="Z127" s="121"/>
      <c r="AA127" s="121"/>
    </row>
    <row r="128" spans="1:27" ht="18.75">
      <c r="A128" s="88"/>
      <c r="B128" s="121">
        <v>4210</v>
      </c>
      <c r="C128" s="121" t="s">
        <v>683</v>
      </c>
      <c r="D128" s="88" t="s">
        <v>710</v>
      </c>
      <c r="E128" s="121">
        <v>54</v>
      </c>
      <c r="F128" s="46" t="s">
        <v>711</v>
      </c>
      <c r="G128" s="26" t="s">
        <v>712</v>
      </c>
      <c r="H128" s="122">
        <v>33000</v>
      </c>
      <c r="I128" s="123"/>
      <c r="J128" s="130" t="str">
        <f>HYPERLINK("https://drive.google.com/open?id=0B2rLR4BADrBtUGFRMzZwYVJzODA","4210")</f>
        <v>4210</v>
      </c>
      <c r="K128" s="133" t="str">
        <f>HYPERLINK("https://drive.google.com/drive/folders/0BwN2QqBc2z4Qfmtfdk5jMzM5Qml2c0t5YmJTblNUU1c4MEItN2tEWDV5MG1WQ0prdHBtWUk","4210")</f>
        <v>4210</v>
      </c>
      <c r="L128" s="134"/>
      <c r="M128" s="46"/>
      <c r="N128" s="126"/>
      <c r="O128" s="126"/>
      <c r="P128" s="126"/>
      <c r="Q128" s="126"/>
      <c r="R128" s="126"/>
      <c r="S128" s="126"/>
      <c r="T128" s="135">
        <v>10</v>
      </c>
      <c r="U128" s="135">
        <f>E128+T128-2+2500</f>
        <v>2562</v>
      </c>
      <c r="V128" s="129" t="str">
        <f>LEFT(B128, SEARCH("",B128,2))</f>
        <v>42</v>
      </c>
      <c r="W128" s="121">
        <f>COUNTIF($V$4:$V$286,V128)-1</f>
        <v>8</v>
      </c>
      <c r="X128" s="121"/>
      <c r="Y128" s="121"/>
      <c r="Z128" s="121"/>
      <c r="AA128" s="121"/>
    </row>
    <row r="129" spans="1:27" ht="18.75">
      <c r="A129" s="88"/>
      <c r="B129" s="121">
        <v>4210</v>
      </c>
      <c r="C129" s="121" t="s">
        <v>683</v>
      </c>
      <c r="D129" s="88" t="s">
        <v>714</v>
      </c>
      <c r="E129" s="121">
        <v>54</v>
      </c>
      <c r="F129" s="46" t="s">
        <v>715</v>
      </c>
      <c r="G129" s="26" t="s">
        <v>712</v>
      </c>
      <c r="H129" s="122">
        <v>39600</v>
      </c>
      <c r="I129" s="123"/>
      <c r="J129" s="130" t="str">
        <f>HYPERLINK("https://drive.google.com/open?id=0B2rLR4BADrBtWTlvbjFaMzJHUDg","4210")</f>
        <v>4210</v>
      </c>
      <c r="K129" s="132" t="str">
        <f>HYPERLINK("https://drive.google.com/drive/folders/0BwN2QqBc2z4Qfmtfdk5jMzM5Qml2c0t5YmJTblNUU1c4MEItN2tEWDV5MG1WQ0prdHBtWUk","4210")</f>
        <v>4210</v>
      </c>
      <c r="L129" s="125"/>
      <c r="M129" s="46"/>
      <c r="N129" s="126"/>
      <c r="O129" s="126"/>
      <c r="P129" s="126"/>
      <c r="Q129" s="126"/>
      <c r="R129" s="126"/>
      <c r="S129" s="126"/>
      <c r="T129" s="135">
        <v>10</v>
      </c>
      <c r="U129" s="135">
        <f>E129+T129-2+2500</f>
        <v>2562</v>
      </c>
      <c r="V129" s="129" t="str">
        <f>LEFT(B129, SEARCH("",B129,2))</f>
        <v>42</v>
      </c>
      <c r="W129" s="121">
        <f>COUNTIF($V$4:$V$286,V129)-1</f>
        <v>8</v>
      </c>
      <c r="X129" s="121"/>
      <c r="Y129" s="121"/>
      <c r="Z129" s="121"/>
      <c r="AA129" s="121"/>
    </row>
    <row r="130" spans="1:27" ht="18.75">
      <c r="A130" s="88"/>
      <c r="B130" s="121">
        <v>4210</v>
      </c>
      <c r="C130" s="121" t="s">
        <v>256</v>
      </c>
      <c r="D130" s="88" t="s">
        <v>717</v>
      </c>
      <c r="E130" s="121">
        <v>57</v>
      </c>
      <c r="F130" s="46" t="s">
        <v>718</v>
      </c>
      <c r="G130" s="26" t="s">
        <v>273</v>
      </c>
      <c r="H130" s="122">
        <v>40000</v>
      </c>
      <c r="I130" s="123"/>
      <c r="J130" s="124"/>
      <c r="K130" s="133" t="str">
        <f>HYPERLINK("https://drive.google.com/drive/u/0/folders/0BwQ57SNHxB3Bc3hQZVBpUmRxZ3M","4210")</f>
        <v>4210</v>
      </c>
      <c r="L130" s="134"/>
      <c r="M130" s="46"/>
      <c r="N130" s="126"/>
      <c r="O130" s="126"/>
      <c r="P130" s="126"/>
      <c r="Q130" s="126"/>
      <c r="R130" s="126"/>
      <c r="S130" s="126"/>
      <c r="T130" s="135"/>
      <c r="U130" s="128"/>
      <c r="V130" s="129" t="str">
        <f>LEFT(B130, SEARCH("",B130,2))</f>
        <v>42</v>
      </c>
      <c r="W130" s="121">
        <f>COUNTIF($V$4:$V$286,V130)-1</f>
        <v>8</v>
      </c>
      <c r="X130" s="121"/>
      <c r="Y130" s="121"/>
      <c r="Z130" s="121"/>
      <c r="AA130" s="121"/>
    </row>
    <row r="131" spans="1:27" ht="18.75">
      <c r="A131" s="118"/>
      <c r="B131" s="117">
        <v>4300</v>
      </c>
      <c r="C131" s="117"/>
      <c r="D131" s="117" t="str">
        <f>"พัสดุ"&amp; VLOOKUP(V131,'เลขSpec.2 ตัวแรก'!$A$2:$B$100,2,FALSE)&amp; " จำนวน "&amp;W131&amp;" รายการ"</f>
        <v>พัสดุหมวด 43 สูบและเครื่องอัด จำนวน 36 รายการ</v>
      </c>
      <c r="E131" s="118"/>
      <c r="F131" s="117"/>
      <c r="G131" s="117"/>
      <c r="H131" s="117"/>
      <c r="I131" s="117"/>
      <c r="J131" s="117"/>
      <c r="K131" s="119"/>
      <c r="L131" s="118"/>
      <c r="M131" s="118"/>
      <c r="N131" s="117"/>
      <c r="O131" s="117"/>
      <c r="P131" s="117"/>
      <c r="Q131" s="118"/>
      <c r="R131" s="117"/>
      <c r="S131" s="117"/>
      <c r="T131" s="117"/>
      <c r="U131" s="117"/>
      <c r="V131" s="117" t="str">
        <f>LEFT(B131, SEARCH("",B131,2))</f>
        <v>43</v>
      </c>
      <c r="W131" s="119">
        <f>COUNTIF($V$2:$V$286,V131)-1</f>
        <v>36</v>
      </c>
      <c r="X131" s="118"/>
      <c r="Y131" s="24"/>
      <c r="Z131" s="24"/>
      <c r="AA131" s="121"/>
    </row>
    <row r="132" spans="1:27" ht="18.75">
      <c r="A132" s="88"/>
      <c r="B132" s="121">
        <v>4310</v>
      </c>
      <c r="C132" s="121" t="s">
        <v>157</v>
      </c>
      <c r="D132" s="88" t="s">
        <v>722</v>
      </c>
      <c r="E132" s="121">
        <v>53</v>
      </c>
      <c r="F132" s="46" t="s">
        <v>724</v>
      </c>
      <c r="G132" s="26" t="s">
        <v>78</v>
      </c>
      <c r="H132" s="122">
        <v>9500</v>
      </c>
      <c r="I132" s="123"/>
      <c r="J132" s="124"/>
      <c r="K132" s="132" t="str">
        <f>HYPERLINK("https://drive.google.com/drive/folders/0BwQ57SNHxB3BaUcwbVdoQXQ5dDg","4310")</f>
        <v>4310</v>
      </c>
      <c r="L132" s="125"/>
      <c r="M132" s="46"/>
      <c r="N132" s="126"/>
      <c r="O132" s="126"/>
      <c r="P132" s="126"/>
      <c r="Q132" s="126"/>
      <c r="R132" s="126"/>
      <c r="S132" s="126"/>
      <c r="T132" s="135">
        <v>15</v>
      </c>
      <c r="U132" s="135">
        <f>E132+T132-2+2500</f>
        <v>2566</v>
      </c>
      <c r="V132" s="129" t="str">
        <f>LEFT(B132, SEARCH("",B132,2))</f>
        <v>43</v>
      </c>
      <c r="W132" s="121">
        <f>COUNTIF('สำเนาของ 52-62 (สำหรับ จก.ตรวจเ'!$V$4:$V$286,V132)-1</f>
        <v>36</v>
      </c>
      <c r="X132" s="121"/>
      <c r="Y132" s="121"/>
      <c r="Z132" s="121"/>
      <c r="AA132" s="121"/>
    </row>
    <row r="133" spans="1:27" ht="18.75">
      <c r="A133" s="88"/>
      <c r="B133" s="121">
        <v>4310</v>
      </c>
      <c r="C133" s="121" t="s">
        <v>683</v>
      </c>
      <c r="D133" s="88" t="s">
        <v>738</v>
      </c>
      <c r="E133" s="121">
        <v>62</v>
      </c>
      <c r="F133" s="46" t="s">
        <v>739</v>
      </c>
      <c r="G133" s="26" t="s">
        <v>78</v>
      </c>
      <c r="H133" s="122">
        <v>450000</v>
      </c>
      <c r="I133" s="123"/>
      <c r="J133" s="130" t="str">
        <f>HYPERLINK("https://drive.google.com/open?id=1RLWKE3KEXf7mXtE7Z9kIeenVaWT6ei-4","4310")</f>
        <v>4310</v>
      </c>
      <c r="K133" s="125"/>
      <c r="L133" s="125"/>
      <c r="M133" s="46"/>
      <c r="N133" s="126"/>
      <c r="O133" s="126"/>
      <c r="P133" s="126"/>
      <c r="Q133" s="126"/>
      <c r="R133" s="126"/>
      <c r="S133" s="126"/>
      <c r="T133" s="135"/>
      <c r="U133" s="128"/>
      <c r="V133" s="129"/>
      <c r="W133" s="121"/>
      <c r="X133" s="121"/>
      <c r="Y133" s="121"/>
      <c r="Z133" s="121"/>
      <c r="AA133" s="121"/>
    </row>
    <row r="134" spans="1:27" ht="18.75">
      <c r="A134" s="88"/>
      <c r="B134" s="121">
        <v>4310</v>
      </c>
      <c r="C134" s="121" t="s">
        <v>157</v>
      </c>
      <c r="D134" s="88" t="s">
        <v>749</v>
      </c>
      <c r="E134" s="121">
        <v>54</v>
      </c>
      <c r="F134" s="46" t="s">
        <v>751</v>
      </c>
      <c r="G134" s="26" t="s">
        <v>78</v>
      </c>
      <c r="H134" s="122">
        <v>28000</v>
      </c>
      <c r="I134" s="123"/>
      <c r="J134" s="130" t="str">
        <f>HYPERLINK("https://drive.google.com/open?id=0B2rLR4BADrBtLThJeGxrSmRLRzg","4310")</f>
        <v>4310</v>
      </c>
      <c r="K134" s="132" t="str">
        <f>HYPERLINK("https://drive.google.com/drive/folders/0BwQ57SNHxB3BaUcwbVdoQXQ5dDg","4310")</f>
        <v>4310</v>
      </c>
      <c r="L134" s="125"/>
      <c r="M134" s="46"/>
      <c r="N134" s="126"/>
      <c r="O134" s="126"/>
      <c r="P134" s="126"/>
      <c r="Q134" s="126"/>
      <c r="R134" s="126"/>
      <c r="S134" s="126"/>
      <c r="T134" s="135">
        <v>15</v>
      </c>
      <c r="U134" s="135">
        <f t="shared" ref="U134:U168" si="22">E134+T134-2+2500</f>
        <v>2567</v>
      </c>
      <c r="V134" s="129" t="str">
        <f t="shared" ref="V134:V177" si="23">LEFT(B134, SEARCH("",B134,2))</f>
        <v>43</v>
      </c>
      <c r="W134" s="121">
        <f>COUNTIF($V$4:$V$286,V134)-1</f>
        <v>36</v>
      </c>
      <c r="X134" s="121"/>
      <c r="Y134" s="121"/>
      <c r="Z134" s="121"/>
      <c r="AA134" s="121"/>
    </row>
    <row r="135" spans="1:27" ht="18.75">
      <c r="A135" s="88"/>
      <c r="B135" s="121">
        <v>4310</v>
      </c>
      <c r="C135" s="121" t="s">
        <v>157</v>
      </c>
      <c r="D135" s="88" t="s">
        <v>763</v>
      </c>
      <c r="E135" s="121">
        <v>55</v>
      </c>
      <c r="F135" s="46" t="s">
        <v>764</v>
      </c>
      <c r="G135" s="26" t="s">
        <v>78</v>
      </c>
      <c r="H135" s="122">
        <v>29500</v>
      </c>
      <c r="I135" s="144"/>
      <c r="J135" s="145" t="str">
        <f>HYPERLINK("https://drive.google.com/open?id=0B2rLR4BADrBtbDlWbm1keTZlWmM","4310")</f>
        <v>4310</v>
      </c>
      <c r="K135" s="132" t="str">
        <f>HYPERLINK("https://drive.google.com/drive/folders/0BwQ57SNHxB3BaUcwbVdoQXQ5dDg","4310")</f>
        <v>4310</v>
      </c>
      <c r="L135" s="125"/>
      <c r="M135" s="46"/>
      <c r="N135" s="126"/>
      <c r="O135" s="126"/>
      <c r="P135" s="126"/>
      <c r="Q135" s="126"/>
      <c r="R135" s="126"/>
      <c r="S135" s="126"/>
      <c r="T135" s="135">
        <v>15</v>
      </c>
      <c r="U135" s="135">
        <f t="shared" si="22"/>
        <v>2568</v>
      </c>
      <c r="V135" s="129" t="str">
        <f t="shared" si="23"/>
        <v>43</v>
      </c>
      <c r="W135" s="121">
        <f>COUNTIF($V$4:$V$286,V135)-1</f>
        <v>36</v>
      </c>
      <c r="X135" s="121"/>
      <c r="Y135" s="121"/>
      <c r="Z135" s="121"/>
      <c r="AA135" s="142"/>
    </row>
    <row r="136" spans="1:27" ht="18.75">
      <c r="A136" s="88"/>
      <c r="B136" s="121">
        <v>4310</v>
      </c>
      <c r="C136" s="121" t="s">
        <v>157</v>
      </c>
      <c r="D136" s="88" t="s">
        <v>775</v>
      </c>
      <c r="E136" s="121">
        <v>53</v>
      </c>
      <c r="F136" s="46" t="s">
        <v>776</v>
      </c>
      <c r="G136" s="26" t="s">
        <v>78</v>
      </c>
      <c r="H136" s="122">
        <v>165000</v>
      </c>
      <c r="I136" s="144"/>
      <c r="J136" s="145" t="str">
        <f>HYPERLINK("https://drive.google.com/open?id=0B2vBTVEfSzItejdjM1JzUVFJVmM","4310")</f>
        <v>4310</v>
      </c>
      <c r="K136" s="132" t="str">
        <f>HYPERLINK("https://drive.google.com/drive/folders/0BwQ57SNHxB3BaUcwbVdoQXQ5dDg","4310")</f>
        <v>4310</v>
      </c>
      <c r="L136" s="125"/>
      <c r="M136" s="46"/>
      <c r="N136" s="126"/>
      <c r="O136" s="126"/>
      <c r="P136" s="126"/>
      <c r="Q136" s="126"/>
      <c r="R136" s="126"/>
      <c r="S136" s="126"/>
      <c r="T136" s="135">
        <v>15</v>
      </c>
      <c r="U136" s="135">
        <f t="shared" si="22"/>
        <v>2566</v>
      </c>
      <c r="V136" s="129" t="str">
        <f t="shared" si="23"/>
        <v>43</v>
      </c>
      <c r="W136" s="121">
        <f>COUNTIF('สำเนาของ 52-62 (สำหรับ จก.ตรวจเ'!$V$4:$V$286,V136)-1</f>
        <v>36</v>
      </c>
      <c r="X136" s="121"/>
      <c r="Y136" s="121"/>
      <c r="Z136" s="121"/>
      <c r="AA136" s="142"/>
    </row>
    <row r="137" spans="1:27" ht="18.75">
      <c r="A137" s="88"/>
      <c r="B137" s="121">
        <v>4320</v>
      </c>
      <c r="C137" s="121" t="s">
        <v>256</v>
      </c>
      <c r="D137" s="88" t="s">
        <v>791</v>
      </c>
      <c r="E137" s="121">
        <v>53</v>
      </c>
      <c r="F137" s="46" t="s">
        <v>792</v>
      </c>
      <c r="G137" s="26" t="s">
        <v>78</v>
      </c>
      <c r="H137" s="122">
        <v>63400</v>
      </c>
      <c r="I137" s="123"/>
      <c r="J137" s="130" t="str">
        <f>HYPERLINK("https://drive.google.com/open?id=0B2vBTVEfSzItWnNlWjFnN3RDT2c","4320")</f>
        <v>4320</v>
      </c>
      <c r="K137" s="132" t="str">
        <f>HYPERLINK("https://drive.google.com/drive/folders/0BwN2QqBc2z4QfjNIWThUWGJ3MDdiU2x4V1ZhdFFVazNTc0I1aVByYkVXQTFldkk5VDFkRWM","4320")</f>
        <v>4320</v>
      </c>
      <c r="L137" s="125"/>
      <c r="M137" s="46"/>
      <c r="N137" s="126"/>
      <c r="O137" s="126"/>
      <c r="P137" s="126"/>
      <c r="Q137" s="126"/>
      <c r="R137" s="126"/>
      <c r="S137" s="126"/>
      <c r="T137" s="135">
        <v>15</v>
      </c>
      <c r="U137" s="135">
        <f t="shared" si="22"/>
        <v>2566</v>
      </c>
      <c r="V137" s="129" t="str">
        <f t="shared" si="23"/>
        <v>43</v>
      </c>
      <c r="W137" s="121">
        <f t="shared" ref="W137:W168" si="24">COUNTIF($V$4:$V$286,V137)-1</f>
        <v>36</v>
      </c>
      <c r="X137" s="121"/>
      <c r="Y137" s="121"/>
      <c r="Z137" s="121"/>
      <c r="AA137" s="121"/>
    </row>
    <row r="138" spans="1:27" ht="18.75">
      <c r="A138" s="88"/>
      <c r="B138" s="121">
        <v>4320</v>
      </c>
      <c r="C138" s="121" t="s">
        <v>256</v>
      </c>
      <c r="D138" s="88" t="s">
        <v>799</v>
      </c>
      <c r="E138" s="121">
        <v>55</v>
      </c>
      <c r="F138" s="46" t="s">
        <v>800</v>
      </c>
      <c r="G138" s="26" t="s">
        <v>78</v>
      </c>
      <c r="H138" s="122">
        <v>950000</v>
      </c>
      <c r="I138" s="123"/>
      <c r="J138" s="124"/>
      <c r="K138" s="132" t="str">
        <f>HYPERLINK("https://drive.google.com/drive/folders/0BwN2QqBc2z4QfjNIWThUWGJ3MDdiU2x4V1ZhdFFVazNTc0I1aVByYkVXQTFldkk5VDFkRWM","4320")</f>
        <v>4320</v>
      </c>
      <c r="L138" s="125"/>
      <c r="M138" s="46"/>
      <c r="N138" s="126"/>
      <c r="O138" s="126"/>
      <c r="P138" s="126"/>
      <c r="Q138" s="126"/>
      <c r="R138" s="126"/>
      <c r="S138" s="126"/>
      <c r="T138" s="135">
        <v>15</v>
      </c>
      <c r="U138" s="135">
        <f t="shared" si="22"/>
        <v>2568</v>
      </c>
      <c r="V138" s="129" t="str">
        <f t="shared" si="23"/>
        <v>43</v>
      </c>
      <c r="W138" s="121">
        <f t="shared" si="24"/>
        <v>36</v>
      </c>
      <c r="X138" s="121"/>
      <c r="Y138" s="121"/>
      <c r="Z138" s="121"/>
      <c r="AA138" s="121"/>
    </row>
    <row r="139" spans="1:27" ht="37.5">
      <c r="A139" s="88"/>
      <c r="B139" s="121">
        <v>4320</v>
      </c>
      <c r="C139" s="121" t="s">
        <v>256</v>
      </c>
      <c r="D139" s="88" t="s">
        <v>837</v>
      </c>
      <c r="E139" s="121">
        <v>54</v>
      </c>
      <c r="F139" s="46" t="s">
        <v>838</v>
      </c>
      <c r="G139" s="26" t="s">
        <v>78</v>
      </c>
      <c r="H139" s="122">
        <v>950000</v>
      </c>
      <c r="I139" s="123"/>
      <c r="J139" s="130" t="str">
        <f>HYPERLINK("https://drive.google.com/open?id=0B2rLR4BADrBtMzFxdy1IenIwbU0","4320")</f>
        <v>4320</v>
      </c>
      <c r="K139" s="132" t="str">
        <f>HYPERLINK("https://drive.google.com/drive/folders/0BwN2QqBc2z4QfjNIWThUWGJ3MDdiU2x4V1ZhdFFVazNTc0I1aVByYkVXQTFldkk5VDFkRWM","4320")</f>
        <v>4320</v>
      </c>
      <c r="L139" s="125"/>
      <c r="M139" s="46"/>
      <c r="N139" s="126"/>
      <c r="O139" s="126"/>
      <c r="P139" s="126"/>
      <c r="Q139" s="126"/>
      <c r="R139" s="126"/>
      <c r="S139" s="126"/>
      <c r="T139" s="135">
        <v>15</v>
      </c>
      <c r="U139" s="135">
        <f t="shared" si="22"/>
        <v>2567</v>
      </c>
      <c r="V139" s="129" t="str">
        <f t="shared" si="23"/>
        <v>43</v>
      </c>
      <c r="W139" s="121">
        <f t="shared" si="24"/>
        <v>36</v>
      </c>
      <c r="X139" s="121"/>
      <c r="Y139" s="121"/>
      <c r="Z139" s="121"/>
      <c r="AA139" s="121"/>
    </row>
    <row r="140" spans="1:27" ht="37.5">
      <c r="A140" s="88"/>
      <c r="B140" s="121">
        <v>4320</v>
      </c>
      <c r="C140" s="121" t="s">
        <v>256</v>
      </c>
      <c r="D140" s="88" t="s">
        <v>850</v>
      </c>
      <c r="E140" s="121">
        <v>54</v>
      </c>
      <c r="F140" s="46" t="s">
        <v>851</v>
      </c>
      <c r="G140" s="26" t="s">
        <v>78</v>
      </c>
      <c r="H140" s="122">
        <v>406800</v>
      </c>
      <c r="I140" s="123"/>
      <c r="J140" s="130" t="str">
        <f>HYPERLINK("https://drive.google.com/open?id=0B2rLR4BADrBtazR0dHA4bUZmcHc","4320")</f>
        <v>4320</v>
      </c>
      <c r="K140" s="132" t="str">
        <f>HYPERLINK("https://drive.google.com/drive/folders/0BwQ57SNHxB3BZEl4TXJrMnlaR1E","5120")</f>
        <v>5120</v>
      </c>
      <c r="L140" s="125"/>
      <c r="M140" s="46"/>
      <c r="N140" s="126"/>
      <c r="O140" s="126"/>
      <c r="P140" s="126"/>
      <c r="Q140" s="126"/>
      <c r="R140" s="126"/>
      <c r="S140" s="126"/>
      <c r="T140" s="128">
        <v>10</v>
      </c>
      <c r="U140" s="128">
        <f t="shared" si="22"/>
        <v>2562</v>
      </c>
      <c r="V140" s="129" t="str">
        <f t="shared" si="23"/>
        <v>43</v>
      </c>
      <c r="W140" s="121">
        <f t="shared" si="24"/>
        <v>36</v>
      </c>
      <c r="X140" s="121"/>
      <c r="Y140" s="121"/>
      <c r="Z140" s="121"/>
      <c r="AA140" s="121"/>
    </row>
    <row r="141" spans="1:27" ht="18.75">
      <c r="A141" s="88"/>
      <c r="B141" s="121">
        <v>4320</v>
      </c>
      <c r="C141" s="121" t="s">
        <v>256</v>
      </c>
      <c r="D141" s="88" t="s">
        <v>861</v>
      </c>
      <c r="E141" s="121">
        <v>53</v>
      </c>
      <c r="F141" s="46" t="s">
        <v>862</v>
      </c>
      <c r="G141" s="26" t="s">
        <v>78</v>
      </c>
      <c r="H141" s="122">
        <v>150000</v>
      </c>
      <c r="I141" s="123"/>
      <c r="J141" s="130" t="str">
        <f>HYPERLINK("https://drive.google.com/open?id=0B2vBTVEfSzItT0UtOVNPYkFxZnc","4320")</f>
        <v>4320</v>
      </c>
      <c r="K141" s="132" t="str">
        <f t="shared" ref="K141:K146" si="25">HYPERLINK("https://drive.google.com/drive/folders/0BwN2QqBc2z4QfjNIWThUWGJ3MDdiU2x4V1ZhdFFVazNTc0I1aVByYkVXQTFldkk5VDFkRWM","4320")</f>
        <v>4320</v>
      </c>
      <c r="L141" s="125"/>
      <c r="M141" s="46"/>
      <c r="N141" s="126"/>
      <c r="O141" s="126"/>
      <c r="P141" s="126"/>
      <c r="Q141" s="126"/>
      <c r="R141" s="126"/>
      <c r="S141" s="126"/>
      <c r="T141" s="135">
        <v>15</v>
      </c>
      <c r="U141" s="135">
        <f t="shared" si="22"/>
        <v>2566</v>
      </c>
      <c r="V141" s="129" t="str">
        <f t="shared" si="23"/>
        <v>43</v>
      </c>
      <c r="W141" s="121">
        <f t="shared" si="24"/>
        <v>36</v>
      </c>
      <c r="X141" s="121"/>
      <c r="Y141" s="121"/>
      <c r="Z141" s="121"/>
      <c r="AA141" s="121"/>
    </row>
    <row r="142" spans="1:27" ht="18.75">
      <c r="A142" s="88"/>
      <c r="B142" s="121">
        <v>4320</v>
      </c>
      <c r="C142" s="121" t="s">
        <v>256</v>
      </c>
      <c r="D142" s="88" t="s">
        <v>863</v>
      </c>
      <c r="E142" s="121">
        <v>53</v>
      </c>
      <c r="F142" s="46" t="s">
        <v>864</v>
      </c>
      <c r="G142" s="26" t="s">
        <v>78</v>
      </c>
      <c r="H142" s="122">
        <v>95000</v>
      </c>
      <c r="I142" s="123"/>
      <c r="J142" s="130" t="str">
        <f>HYPERLINK("https://drive.google.com/open?id=0B2vBTVEfSzItZDFhYUY1S0lVRHM","4320")</f>
        <v>4320</v>
      </c>
      <c r="K142" s="132" t="str">
        <f t="shared" si="25"/>
        <v>4320</v>
      </c>
      <c r="L142" s="125"/>
      <c r="M142" s="46"/>
      <c r="N142" s="126"/>
      <c r="O142" s="126"/>
      <c r="P142" s="126"/>
      <c r="Q142" s="126"/>
      <c r="R142" s="126"/>
      <c r="S142" s="126"/>
      <c r="T142" s="135">
        <v>15</v>
      </c>
      <c r="U142" s="135">
        <f t="shared" si="22"/>
        <v>2566</v>
      </c>
      <c r="V142" s="129" t="str">
        <f t="shared" si="23"/>
        <v>43</v>
      </c>
      <c r="W142" s="121">
        <f t="shared" si="24"/>
        <v>36</v>
      </c>
      <c r="X142" s="121"/>
      <c r="Y142" s="121"/>
      <c r="Z142" s="121"/>
      <c r="AA142" s="121"/>
    </row>
    <row r="143" spans="1:27" ht="18.75">
      <c r="A143" s="88"/>
      <c r="B143" s="121">
        <v>4320</v>
      </c>
      <c r="C143" s="121" t="s">
        <v>256</v>
      </c>
      <c r="D143" s="88" t="s">
        <v>865</v>
      </c>
      <c r="E143" s="121">
        <v>53</v>
      </c>
      <c r="F143" s="46" t="s">
        <v>866</v>
      </c>
      <c r="G143" s="26" t="s">
        <v>78</v>
      </c>
      <c r="H143" s="122">
        <v>140000</v>
      </c>
      <c r="I143" s="123"/>
      <c r="J143" s="130" t="str">
        <f>HYPERLINK("https://drive.google.com/open?id=0B2vBTVEfSzItOTR3YnlOYm1hdUE","4320")</f>
        <v>4320</v>
      </c>
      <c r="K143" s="132" t="str">
        <f t="shared" si="25"/>
        <v>4320</v>
      </c>
      <c r="L143" s="125"/>
      <c r="M143" s="46"/>
      <c r="N143" s="126"/>
      <c r="O143" s="126"/>
      <c r="P143" s="126"/>
      <c r="Q143" s="126"/>
      <c r="R143" s="126"/>
      <c r="S143" s="126"/>
      <c r="T143" s="135">
        <v>15</v>
      </c>
      <c r="U143" s="135">
        <f t="shared" si="22"/>
        <v>2566</v>
      </c>
      <c r="V143" s="129" t="str">
        <f t="shared" si="23"/>
        <v>43</v>
      </c>
      <c r="W143" s="121">
        <f t="shared" si="24"/>
        <v>36</v>
      </c>
      <c r="X143" s="121"/>
      <c r="Y143" s="121"/>
      <c r="Z143" s="121"/>
      <c r="AA143" s="121"/>
    </row>
    <row r="144" spans="1:27" ht="18.75">
      <c r="A144" s="88"/>
      <c r="B144" s="121">
        <v>4320</v>
      </c>
      <c r="C144" s="121" t="s">
        <v>256</v>
      </c>
      <c r="D144" s="88" t="s">
        <v>869</v>
      </c>
      <c r="E144" s="121">
        <v>53</v>
      </c>
      <c r="F144" s="46" t="s">
        <v>870</v>
      </c>
      <c r="G144" s="26" t="s">
        <v>78</v>
      </c>
      <c r="H144" s="122">
        <v>120000</v>
      </c>
      <c r="I144" s="123"/>
      <c r="J144" s="130" t="str">
        <f>HYPERLINK("https://drive.google.com/open?id=0B2vBTVEfSzItYTFXeDZuT3YzcFE","4320")</f>
        <v>4320</v>
      </c>
      <c r="K144" s="132" t="str">
        <f t="shared" si="25"/>
        <v>4320</v>
      </c>
      <c r="L144" s="125"/>
      <c r="M144" s="46"/>
      <c r="N144" s="126"/>
      <c r="O144" s="126"/>
      <c r="P144" s="126"/>
      <c r="Q144" s="126"/>
      <c r="R144" s="126"/>
      <c r="S144" s="126"/>
      <c r="T144" s="135">
        <v>15</v>
      </c>
      <c r="U144" s="135">
        <f t="shared" si="22"/>
        <v>2566</v>
      </c>
      <c r="V144" s="129" t="str">
        <f t="shared" si="23"/>
        <v>43</v>
      </c>
      <c r="W144" s="121">
        <f t="shared" si="24"/>
        <v>36</v>
      </c>
      <c r="X144" s="121"/>
      <c r="Y144" s="121"/>
      <c r="Z144" s="121"/>
      <c r="AA144" s="121"/>
    </row>
    <row r="145" spans="1:27" ht="37.5">
      <c r="A145" s="88"/>
      <c r="B145" s="121">
        <v>4320</v>
      </c>
      <c r="C145" s="121" t="s">
        <v>256</v>
      </c>
      <c r="D145" s="88" t="s">
        <v>871</v>
      </c>
      <c r="E145" s="121">
        <v>54</v>
      </c>
      <c r="F145" s="46" t="s">
        <v>872</v>
      </c>
      <c r="G145" s="26" t="s">
        <v>78</v>
      </c>
      <c r="H145" s="122">
        <v>15000</v>
      </c>
      <c r="I145" s="123"/>
      <c r="J145" s="124"/>
      <c r="K145" s="132" t="str">
        <f t="shared" si="25"/>
        <v>4320</v>
      </c>
      <c r="L145" s="125"/>
      <c r="M145" s="46"/>
      <c r="N145" s="126"/>
      <c r="O145" s="126"/>
      <c r="P145" s="126"/>
      <c r="Q145" s="126"/>
      <c r="R145" s="126"/>
      <c r="S145" s="126"/>
      <c r="T145" s="135">
        <v>15</v>
      </c>
      <c r="U145" s="135">
        <f t="shared" si="22"/>
        <v>2567</v>
      </c>
      <c r="V145" s="129" t="str">
        <f t="shared" si="23"/>
        <v>43</v>
      </c>
      <c r="W145" s="121">
        <f t="shared" si="24"/>
        <v>36</v>
      </c>
      <c r="X145" s="121"/>
      <c r="Y145" s="121"/>
      <c r="Z145" s="121"/>
      <c r="AA145" s="121"/>
    </row>
    <row r="146" spans="1:27" ht="37.5">
      <c r="A146" s="88"/>
      <c r="B146" s="121">
        <v>4320</v>
      </c>
      <c r="C146" s="121" t="s">
        <v>256</v>
      </c>
      <c r="D146" s="88" t="s">
        <v>873</v>
      </c>
      <c r="E146" s="121">
        <v>57</v>
      </c>
      <c r="F146" s="46" t="s">
        <v>874</v>
      </c>
      <c r="G146" s="26" t="s">
        <v>78</v>
      </c>
      <c r="H146" s="122">
        <v>30000</v>
      </c>
      <c r="I146" s="123"/>
      <c r="J146" s="124"/>
      <c r="K146" s="132" t="str">
        <f t="shared" si="25"/>
        <v>4320</v>
      </c>
      <c r="L146" s="125"/>
      <c r="M146" s="46"/>
      <c r="N146" s="126"/>
      <c r="O146" s="126"/>
      <c r="P146" s="126"/>
      <c r="Q146" s="126"/>
      <c r="R146" s="126"/>
      <c r="S146" s="126"/>
      <c r="T146" s="135">
        <v>15</v>
      </c>
      <c r="U146" s="135">
        <f t="shared" si="22"/>
        <v>2570</v>
      </c>
      <c r="V146" s="129" t="str">
        <f t="shared" si="23"/>
        <v>43</v>
      </c>
      <c r="W146" s="121">
        <f t="shared" si="24"/>
        <v>36</v>
      </c>
      <c r="X146" s="121"/>
      <c r="Y146" s="121"/>
      <c r="Z146" s="121"/>
      <c r="AA146" s="121"/>
    </row>
    <row r="147" spans="1:27" ht="18.75">
      <c r="A147" s="88"/>
      <c r="B147" s="121">
        <v>4320</v>
      </c>
      <c r="C147" s="121" t="s">
        <v>256</v>
      </c>
      <c r="D147" s="88" t="s">
        <v>875</v>
      </c>
      <c r="E147" s="121">
        <v>57</v>
      </c>
      <c r="F147" s="46" t="s">
        <v>876</v>
      </c>
      <c r="G147" s="26" t="s">
        <v>78</v>
      </c>
      <c r="H147" s="122">
        <v>1400000</v>
      </c>
      <c r="I147" s="123"/>
      <c r="J147" s="130" t="str">
        <f>HYPERLINK("https://drive.google.com/open?id=0B2rLR4BADrBtS2g2SXJBTFJzRFU","4320")</f>
        <v>4320</v>
      </c>
      <c r="K147" s="133" t="str">
        <f>HYPERLINK("https://drive.google.com/drive/folders/0BwQ57SNHxB3BVHE3dUZJUnJPNHc","4320")</f>
        <v>4320</v>
      </c>
      <c r="L147" s="134"/>
      <c r="M147" s="46"/>
      <c r="N147" s="126"/>
      <c r="O147" s="126"/>
      <c r="P147" s="126"/>
      <c r="Q147" s="126"/>
      <c r="R147" s="126"/>
      <c r="S147" s="126"/>
      <c r="T147" s="135">
        <v>15</v>
      </c>
      <c r="U147" s="135">
        <f t="shared" si="22"/>
        <v>2570</v>
      </c>
      <c r="V147" s="129" t="str">
        <f t="shared" si="23"/>
        <v>43</v>
      </c>
      <c r="W147" s="121">
        <f t="shared" si="24"/>
        <v>36</v>
      </c>
      <c r="X147" s="121"/>
      <c r="Y147" s="121"/>
      <c r="Z147" s="121"/>
      <c r="AA147" s="121"/>
    </row>
    <row r="148" spans="1:27" ht="18.75">
      <c r="A148" s="88"/>
      <c r="B148" s="121">
        <v>4320</v>
      </c>
      <c r="C148" s="121" t="s">
        <v>256</v>
      </c>
      <c r="D148" s="88" t="s">
        <v>877</v>
      </c>
      <c r="E148" s="121">
        <v>57</v>
      </c>
      <c r="F148" s="46" t="s">
        <v>878</v>
      </c>
      <c r="G148" s="26" t="s">
        <v>78</v>
      </c>
      <c r="H148" s="122">
        <v>1900000</v>
      </c>
      <c r="I148" s="123"/>
      <c r="J148" s="130" t="str">
        <f>HYPERLINK("https://drive.google.com/open?id=0B2rLR4BADrBtOE12Z0xEOS1CZmM","4320")</f>
        <v>4320</v>
      </c>
      <c r="K148" s="132" t="str">
        <f>HYPERLINK("https://drive.google.com/drive/folders/0BwN2QqBc2z4QfjNIWThUWGJ3MDdiU2x4V1ZhdFFVazNTc0I1aVByYkVXQTFldkk5VDFkRWM","4320")</f>
        <v>4320</v>
      </c>
      <c r="L148" s="125"/>
      <c r="M148" s="136"/>
      <c r="N148" s="126"/>
      <c r="O148" s="126"/>
      <c r="P148" s="126"/>
      <c r="Q148" s="126"/>
      <c r="R148" s="126"/>
      <c r="S148" s="126"/>
      <c r="T148" s="135">
        <v>15</v>
      </c>
      <c r="U148" s="135">
        <f t="shared" si="22"/>
        <v>2570</v>
      </c>
      <c r="V148" s="129" t="str">
        <f t="shared" si="23"/>
        <v>43</v>
      </c>
      <c r="W148" s="121">
        <f t="shared" si="24"/>
        <v>36</v>
      </c>
      <c r="X148" s="121"/>
      <c r="Y148" s="121"/>
      <c r="Z148" s="121"/>
      <c r="AA148" s="121"/>
    </row>
    <row r="149" spans="1:27" ht="37.5">
      <c r="A149" s="88"/>
      <c r="B149" s="121">
        <v>4320</v>
      </c>
      <c r="C149" s="121" t="s">
        <v>256</v>
      </c>
      <c r="D149" s="88" t="s">
        <v>880</v>
      </c>
      <c r="E149" s="121">
        <v>54</v>
      </c>
      <c r="F149" s="46" t="s">
        <v>881</v>
      </c>
      <c r="G149" s="26" t="s">
        <v>78</v>
      </c>
      <c r="H149" s="122">
        <v>91500</v>
      </c>
      <c r="I149" s="123"/>
      <c r="J149" s="130" t="str">
        <f>HYPERLINK("https://drive.google.com/open?id=0B2rLR4BADrBtSXpub1JoRTJMLTQ","4320")</f>
        <v>4320</v>
      </c>
      <c r="K149" s="132" t="str">
        <f>HYPERLINK("https://drive.google.com/drive/folders/0BwN2QqBc2z4QfjNIWThUWGJ3MDdiU2x4V1ZhdFFVazNTc0I1aVByYkVXQTFldkk5VDFkRWM","4320")</f>
        <v>4320</v>
      </c>
      <c r="L149" s="125"/>
      <c r="M149" s="46"/>
      <c r="N149" s="126"/>
      <c r="O149" s="126"/>
      <c r="P149" s="126"/>
      <c r="Q149" s="126"/>
      <c r="R149" s="126"/>
      <c r="S149" s="126"/>
      <c r="T149" s="135">
        <v>15</v>
      </c>
      <c r="U149" s="135">
        <f t="shared" si="22"/>
        <v>2567</v>
      </c>
      <c r="V149" s="129" t="str">
        <f t="shared" si="23"/>
        <v>43</v>
      </c>
      <c r="W149" s="121">
        <f t="shared" si="24"/>
        <v>36</v>
      </c>
      <c r="X149" s="121"/>
      <c r="Y149" s="121"/>
      <c r="Z149" s="121"/>
      <c r="AA149" s="121"/>
    </row>
    <row r="150" spans="1:27" ht="37.5">
      <c r="A150" s="88"/>
      <c r="B150" s="121">
        <v>4320</v>
      </c>
      <c r="C150" s="121" t="s">
        <v>256</v>
      </c>
      <c r="D150" s="88" t="s">
        <v>882</v>
      </c>
      <c r="E150" s="121">
        <v>57</v>
      </c>
      <c r="F150" s="46" t="s">
        <v>883</v>
      </c>
      <c r="G150" s="26" t="s">
        <v>78</v>
      </c>
      <c r="H150" s="122">
        <v>400000</v>
      </c>
      <c r="I150" s="123"/>
      <c r="J150" s="130" t="str">
        <f>HYPERLINK("https://drive.google.com/open?id=0B2rLR4BADrBtd0d6OVh4a0JrWjQ","4320")</f>
        <v>4320</v>
      </c>
      <c r="K150" s="146" t="str">
        <f>HYPERLINK("https://drive.google.com/drive/folders/0BwN2QqBc2z4QfjNIWThUWGJ3MDdiU2x4V1ZhdFFVazNTc0I1aVByYkVXQTFldkk5VDFkRWM","4320")</f>
        <v>4320</v>
      </c>
      <c r="L150" s="147"/>
      <c r="M150" s="46"/>
      <c r="N150" s="126"/>
      <c r="O150" s="126"/>
      <c r="P150" s="126"/>
      <c r="Q150" s="126"/>
      <c r="R150" s="126"/>
      <c r="S150" s="126"/>
      <c r="T150" s="135">
        <v>15</v>
      </c>
      <c r="U150" s="135">
        <f t="shared" si="22"/>
        <v>2570</v>
      </c>
      <c r="V150" s="129" t="str">
        <f t="shared" si="23"/>
        <v>43</v>
      </c>
      <c r="W150" s="121">
        <f t="shared" si="24"/>
        <v>36</v>
      </c>
      <c r="X150" s="121"/>
      <c r="Y150" s="121"/>
      <c r="Z150" s="121"/>
      <c r="AA150" s="121"/>
    </row>
    <row r="151" spans="1:27" ht="18.75">
      <c r="A151" s="88"/>
      <c r="B151" s="121">
        <v>4320</v>
      </c>
      <c r="C151" s="121" t="s">
        <v>256</v>
      </c>
      <c r="D151" s="88" t="s">
        <v>884</v>
      </c>
      <c r="E151" s="121">
        <v>59</v>
      </c>
      <c r="F151" s="46" t="s">
        <v>885</v>
      </c>
      <c r="G151" s="26" t="s">
        <v>78</v>
      </c>
      <c r="H151" s="122">
        <v>40000</v>
      </c>
      <c r="I151" s="123"/>
      <c r="J151" s="124"/>
      <c r="K151" s="147"/>
      <c r="L151" s="147"/>
      <c r="M151" s="46"/>
      <c r="N151" s="126"/>
      <c r="O151" s="126"/>
      <c r="P151" s="126"/>
      <c r="Q151" s="126"/>
      <c r="R151" s="126"/>
      <c r="S151" s="126"/>
      <c r="T151" s="135"/>
      <c r="U151" s="135">
        <f t="shared" si="22"/>
        <v>2557</v>
      </c>
      <c r="V151" s="129" t="str">
        <f t="shared" si="23"/>
        <v>43</v>
      </c>
      <c r="W151" s="121">
        <f t="shared" si="24"/>
        <v>36</v>
      </c>
      <c r="X151" s="121"/>
      <c r="Y151" s="121"/>
      <c r="Z151" s="121"/>
      <c r="AA151" s="121"/>
    </row>
    <row r="152" spans="1:27" ht="37.5">
      <c r="A152" s="88"/>
      <c r="B152" s="121">
        <v>4320</v>
      </c>
      <c r="C152" s="121" t="s">
        <v>256</v>
      </c>
      <c r="D152" s="88" t="s">
        <v>887</v>
      </c>
      <c r="E152" s="121">
        <v>57</v>
      </c>
      <c r="F152" s="46" t="s">
        <v>888</v>
      </c>
      <c r="G152" s="26" t="s">
        <v>78</v>
      </c>
      <c r="H152" s="122">
        <v>450000</v>
      </c>
      <c r="I152" s="123"/>
      <c r="J152" s="124"/>
      <c r="K152" s="132" t="str">
        <f t="shared" ref="K152:K168" si="26">HYPERLINK("https://drive.google.com/drive/folders/0BwN2QqBc2z4QfjNIWThUWGJ3MDdiU2x4V1ZhdFFVazNTc0I1aVByYkVXQTFldkk5VDFkRWM","4320")</f>
        <v>4320</v>
      </c>
      <c r="L152" s="125"/>
      <c r="M152" s="46"/>
      <c r="N152" s="126"/>
      <c r="O152" s="126"/>
      <c r="P152" s="126"/>
      <c r="Q152" s="126"/>
      <c r="R152" s="126"/>
      <c r="S152" s="126"/>
      <c r="T152" s="135">
        <v>15</v>
      </c>
      <c r="U152" s="135">
        <f t="shared" si="22"/>
        <v>2570</v>
      </c>
      <c r="V152" s="129" t="str">
        <f t="shared" si="23"/>
        <v>43</v>
      </c>
      <c r="W152" s="121">
        <f t="shared" si="24"/>
        <v>36</v>
      </c>
      <c r="X152" s="121"/>
      <c r="Y152" s="121"/>
      <c r="Z152" s="121"/>
      <c r="AA152" s="121"/>
    </row>
    <row r="153" spans="1:27" ht="37.5">
      <c r="A153" s="88"/>
      <c r="B153" s="121">
        <v>4320</v>
      </c>
      <c r="C153" s="121" t="s">
        <v>256</v>
      </c>
      <c r="D153" s="88" t="s">
        <v>890</v>
      </c>
      <c r="E153" s="121">
        <v>57</v>
      </c>
      <c r="F153" s="46" t="s">
        <v>891</v>
      </c>
      <c r="G153" s="26" t="s">
        <v>78</v>
      </c>
      <c r="H153" s="122">
        <v>130000</v>
      </c>
      <c r="I153" s="123"/>
      <c r="J153" s="124"/>
      <c r="K153" s="146" t="str">
        <f t="shared" si="26"/>
        <v>4320</v>
      </c>
      <c r="L153" s="147"/>
      <c r="M153" s="46"/>
      <c r="N153" s="126"/>
      <c r="O153" s="126"/>
      <c r="P153" s="126"/>
      <c r="Q153" s="126"/>
      <c r="R153" s="126"/>
      <c r="S153" s="126"/>
      <c r="T153" s="128">
        <v>15</v>
      </c>
      <c r="U153" s="128">
        <f t="shared" si="22"/>
        <v>2570</v>
      </c>
      <c r="V153" s="129" t="str">
        <f t="shared" si="23"/>
        <v>43</v>
      </c>
      <c r="W153" s="121">
        <f t="shared" si="24"/>
        <v>36</v>
      </c>
      <c r="X153" s="121"/>
      <c r="Y153" s="121"/>
      <c r="Z153" s="121"/>
      <c r="AA153" s="121"/>
    </row>
    <row r="154" spans="1:27" ht="18.75">
      <c r="A154" s="88"/>
      <c r="B154" s="121">
        <v>4320</v>
      </c>
      <c r="C154" s="121" t="s">
        <v>256</v>
      </c>
      <c r="D154" s="88" t="s">
        <v>892</v>
      </c>
      <c r="E154" s="121">
        <v>56</v>
      </c>
      <c r="F154" s="46" t="s">
        <v>893</v>
      </c>
      <c r="G154" s="26" t="s">
        <v>78</v>
      </c>
      <c r="H154" s="122">
        <v>110000</v>
      </c>
      <c r="I154" s="123"/>
      <c r="J154" s="124"/>
      <c r="K154" s="132" t="str">
        <f t="shared" si="26"/>
        <v>4320</v>
      </c>
      <c r="L154" s="125"/>
      <c r="M154" s="46"/>
      <c r="N154" s="126"/>
      <c r="O154" s="126"/>
      <c r="P154" s="126"/>
      <c r="Q154" s="126"/>
      <c r="R154" s="126"/>
      <c r="S154" s="126"/>
      <c r="T154" s="135">
        <v>15</v>
      </c>
      <c r="U154" s="135">
        <f t="shared" si="22"/>
        <v>2569</v>
      </c>
      <c r="V154" s="129" t="str">
        <f t="shared" si="23"/>
        <v>43</v>
      </c>
      <c r="W154" s="121">
        <f t="shared" si="24"/>
        <v>36</v>
      </c>
      <c r="X154" s="121"/>
      <c r="Y154" s="121"/>
      <c r="Z154" s="121"/>
      <c r="AA154" s="121"/>
    </row>
    <row r="155" spans="1:27" ht="18.75">
      <c r="A155" s="88"/>
      <c r="B155" s="121">
        <v>4320</v>
      </c>
      <c r="C155" s="121" t="s">
        <v>256</v>
      </c>
      <c r="D155" s="88" t="s">
        <v>894</v>
      </c>
      <c r="E155" s="121">
        <v>57</v>
      </c>
      <c r="F155" s="46" t="s">
        <v>895</v>
      </c>
      <c r="G155" s="26" t="s">
        <v>78</v>
      </c>
      <c r="H155" s="122">
        <v>18200</v>
      </c>
      <c r="I155" s="123"/>
      <c r="J155" s="130" t="str">
        <f>HYPERLINK("https://drive.google.com/open?id=0B2rLR4BADrBtd3BoUXA1MGZ1TFU","4320")</f>
        <v>4320</v>
      </c>
      <c r="K155" s="146" t="str">
        <f t="shared" si="26"/>
        <v>4320</v>
      </c>
      <c r="L155" s="147"/>
      <c r="M155" s="46"/>
      <c r="N155" s="126"/>
      <c r="O155" s="126"/>
      <c r="P155" s="126"/>
      <c r="Q155" s="126"/>
      <c r="R155" s="126"/>
      <c r="S155" s="126"/>
      <c r="T155" s="135">
        <v>15</v>
      </c>
      <c r="U155" s="135">
        <f t="shared" si="22"/>
        <v>2570</v>
      </c>
      <c r="V155" s="129" t="str">
        <f t="shared" si="23"/>
        <v>43</v>
      </c>
      <c r="W155" s="121">
        <f t="shared" si="24"/>
        <v>36</v>
      </c>
      <c r="X155" s="121"/>
      <c r="Y155" s="121"/>
      <c r="Z155" s="121"/>
      <c r="AA155" s="121"/>
    </row>
    <row r="156" spans="1:27" ht="18.75">
      <c r="A156" s="88"/>
      <c r="B156" s="121">
        <v>4320</v>
      </c>
      <c r="C156" s="121" t="s">
        <v>256</v>
      </c>
      <c r="D156" s="88" t="s">
        <v>896</v>
      </c>
      <c r="E156" s="121">
        <v>53</v>
      </c>
      <c r="F156" s="46" t="s">
        <v>897</v>
      </c>
      <c r="G156" s="26" t="s">
        <v>78</v>
      </c>
      <c r="H156" s="122">
        <v>90000</v>
      </c>
      <c r="I156" s="123"/>
      <c r="J156" s="124"/>
      <c r="K156" s="132" t="str">
        <f t="shared" si="26"/>
        <v>4320</v>
      </c>
      <c r="L156" s="125"/>
      <c r="M156" s="46"/>
      <c r="N156" s="126"/>
      <c r="O156" s="126"/>
      <c r="P156" s="126"/>
      <c r="Q156" s="126"/>
      <c r="R156" s="126"/>
      <c r="S156" s="126"/>
      <c r="T156" s="135">
        <v>15</v>
      </c>
      <c r="U156" s="135">
        <f t="shared" si="22"/>
        <v>2566</v>
      </c>
      <c r="V156" s="129" t="str">
        <f t="shared" si="23"/>
        <v>43</v>
      </c>
      <c r="W156" s="121">
        <f t="shared" si="24"/>
        <v>36</v>
      </c>
      <c r="X156" s="121"/>
      <c r="Y156" s="121"/>
      <c r="Z156" s="121"/>
      <c r="AA156" s="121"/>
    </row>
    <row r="157" spans="1:27" ht="18.75">
      <c r="A157" s="88"/>
      <c r="B157" s="121">
        <v>4320</v>
      </c>
      <c r="C157" s="121" t="s">
        <v>256</v>
      </c>
      <c r="D157" s="88" t="s">
        <v>898</v>
      </c>
      <c r="E157" s="121">
        <v>56</v>
      </c>
      <c r="F157" s="46" t="s">
        <v>899</v>
      </c>
      <c r="G157" s="26" t="s">
        <v>78</v>
      </c>
      <c r="H157" s="122">
        <v>265000</v>
      </c>
      <c r="I157" s="123"/>
      <c r="J157" s="130" t="str">
        <f>HYPERLINK("https://drive.google.com/open?id=0B2rLR4BADrBtSlB1Z2lHQkwyaTA","4320")</f>
        <v>4320</v>
      </c>
      <c r="K157" s="132" t="str">
        <f t="shared" si="26"/>
        <v>4320</v>
      </c>
      <c r="L157" s="125"/>
      <c r="M157" s="46"/>
      <c r="N157" s="126"/>
      <c r="O157" s="126"/>
      <c r="P157" s="126"/>
      <c r="Q157" s="126"/>
      <c r="R157" s="126"/>
      <c r="S157" s="126"/>
      <c r="T157" s="135">
        <v>15</v>
      </c>
      <c r="U157" s="135">
        <f t="shared" si="22"/>
        <v>2569</v>
      </c>
      <c r="V157" s="129" t="str">
        <f t="shared" si="23"/>
        <v>43</v>
      </c>
      <c r="W157" s="121">
        <f t="shared" si="24"/>
        <v>36</v>
      </c>
      <c r="X157" s="121"/>
      <c r="Y157" s="121"/>
      <c r="Z157" s="121"/>
      <c r="AA157" s="121"/>
    </row>
    <row r="158" spans="1:27" ht="18.75">
      <c r="A158" s="88"/>
      <c r="B158" s="121">
        <v>4320</v>
      </c>
      <c r="C158" s="121" t="s">
        <v>256</v>
      </c>
      <c r="D158" s="88" t="s">
        <v>900</v>
      </c>
      <c r="E158" s="121">
        <v>57</v>
      </c>
      <c r="F158" s="46" t="s">
        <v>901</v>
      </c>
      <c r="G158" s="26" t="s">
        <v>78</v>
      </c>
      <c r="H158" s="122">
        <v>45000</v>
      </c>
      <c r="I158" s="123"/>
      <c r="J158" s="130" t="str">
        <f>HYPERLINK("https://drive.google.com/open?id=0B2rLR4BADrBtbHZENWk2REI0aDQ","4320")</f>
        <v>4320</v>
      </c>
      <c r="K158" s="146" t="str">
        <f t="shared" si="26"/>
        <v>4320</v>
      </c>
      <c r="L158" s="147"/>
      <c r="M158" s="46"/>
      <c r="N158" s="126"/>
      <c r="O158" s="126"/>
      <c r="P158" s="126"/>
      <c r="Q158" s="126"/>
      <c r="R158" s="126"/>
      <c r="S158" s="126"/>
      <c r="T158" s="135">
        <v>15</v>
      </c>
      <c r="U158" s="135">
        <f t="shared" si="22"/>
        <v>2570</v>
      </c>
      <c r="V158" s="129" t="str">
        <f t="shared" si="23"/>
        <v>43</v>
      </c>
      <c r="W158" s="121">
        <f t="shared" si="24"/>
        <v>36</v>
      </c>
      <c r="X158" s="121"/>
      <c r="Y158" s="121"/>
      <c r="Z158" s="121"/>
      <c r="AA158" s="121"/>
    </row>
    <row r="159" spans="1:27" ht="18.75">
      <c r="A159" s="88"/>
      <c r="B159" s="121">
        <v>4320</v>
      </c>
      <c r="C159" s="121" t="s">
        <v>256</v>
      </c>
      <c r="D159" s="88" t="s">
        <v>902</v>
      </c>
      <c r="E159" s="121">
        <v>57</v>
      </c>
      <c r="F159" s="46" t="s">
        <v>903</v>
      </c>
      <c r="G159" s="26" t="s">
        <v>78</v>
      </c>
      <c r="H159" s="122">
        <v>175000</v>
      </c>
      <c r="I159" s="123"/>
      <c r="J159" s="130" t="str">
        <f>HYPERLINK("https://drive.google.com/open?id=0B2rLR4BADrBtY21PZjFvSXhBdWM","4320")</f>
        <v>4320</v>
      </c>
      <c r="K159" s="146" t="str">
        <f t="shared" si="26"/>
        <v>4320</v>
      </c>
      <c r="L159" s="147"/>
      <c r="M159" s="46"/>
      <c r="N159" s="126"/>
      <c r="O159" s="126"/>
      <c r="P159" s="126"/>
      <c r="Q159" s="126"/>
      <c r="R159" s="126"/>
      <c r="S159" s="126"/>
      <c r="T159" s="135">
        <v>15</v>
      </c>
      <c r="U159" s="135">
        <f t="shared" si="22"/>
        <v>2570</v>
      </c>
      <c r="V159" s="129" t="str">
        <f t="shared" si="23"/>
        <v>43</v>
      </c>
      <c r="W159" s="121">
        <f t="shared" si="24"/>
        <v>36</v>
      </c>
      <c r="X159" s="121"/>
      <c r="Y159" s="121"/>
      <c r="Z159" s="121"/>
      <c r="AA159" s="121"/>
    </row>
    <row r="160" spans="1:27" ht="18.75">
      <c r="A160" s="88"/>
      <c r="B160" s="121">
        <v>4320</v>
      </c>
      <c r="C160" s="121" t="s">
        <v>256</v>
      </c>
      <c r="D160" s="88" t="s">
        <v>904</v>
      </c>
      <c r="E160" s="121">
        <v>57</v>
      </c>
      <c r="F160" s="46" t="s">
        <v>905</v>
      </c>
      <c r="G160" s="26" t="s">
        <v>78</v>
      </c>
      <c r="H160" s="122">
        <v>11000</v>
      </c>
      <c r="I160" s="123"/>
      <c r="J160" s="130" t="str">
        <f>HYPERLINK("https://drive.google.com/open?id=0B2rLR4BADrBtY0NoRksyTmZkMW8","4320")</f>
        <v>4320</v>
      </c>
      <c r="K160" s="146" t="str">
        <f t="shared" si="26"/>
        <v>4320</v>
      </c>
      <c r="L160" s="147"/>
      <c r="M160" s="46"/>
      <c r="N160" s="126"/>
      <c r="O160" s="126"/>
      <c r="P160" s="126"/>
      <c r="Q160" s="126"/>
      <c r="R160" s="126"/>
      <c r="S160" s="126"/>
      <c r="T160" s="135">
        <v>15</v>
      </c>
      <c r="U160" s="135">
        <f t="shared" si="22"/>
        <v>2570</v>
      </c>
      <c r="V160" s="129" t="str">
        <f t="shared" si="23"/>
        <v>43</v>
      </c>
      <c r="W160" s="121">
        <f t="shared" si="24"/>
        <v>36</v>
      </c>
      <c r="X160" s="121"/>
      <c r="Y160" s="121"/>
      <c r="Z160" s="121"/>
      <c r="AA160" s="121"/>
    </row>
    <row r="161" spans="1:27" ht="18.75">
      <c r="A161" s="88"/>
      <c r="B161" s="121">
        <v>4320</v>
      </c>
      <c r="C161" s="121" t="s">
        <v>256</v>
      </c>
      <c r="D161" s="88" t="s">
        <v>907</v>
      </c>
      <c r="E161" s="121">
        <v>54</v>
      </c>
      <c r="F161" s="46" t="s">
        <v>908</v>
      </c>
      <c r="G161" s="26" t="s">
        <v>78</v>
      </c>
      <c r="H161" s="122">
        <v>60000</v>
      </c>
      <c r="I161" s="123"/>
      <c r="J161" s="130" t="str">
        <f>HYPERLINK("https://drive.google.com/open?id=0B2rLR4BADrBtNTVKQWF4WER0aUk","4320")</f>
        <v>4320</v>
      </c>
      <c r="K161" s="132" t="str">
        <f t="shared" si="26"/>
        <v>4320</v>
      </c>
      <c r="L161" s="125"/>
      <c r="M161" s="46"/>
      <c r="N161" s="126"/>
      <c r="O161" s="126"/>
      <c r="P161" s="126"/>
      <c r="Q161" s="126"/>
      <c r="R161" s="126"/>
      <c r="S161" s="126"/>
      <c r="T161" s="128">
        <v>15</v>
      </c>
      <c r="U161" s="128">
        <f t="shared" si="22"/>
        <v>2567</v>
      </c>
      <c r="V161" s="129" t="str">
        <f t="shared" si="23"/>
        <v>43</v>
      </c>
      <c r="W161" s="121">
        <f t="shared" si="24"/>
        <v>36</v>
      </c>
      <c r="X161" s="121"/>
      <c r="Y161" s="121"/>
      <c r="Z161" s="121"/>
      <c r="AA161" s="121"/>
    </row>
    <row r="162" spans="1:27" ht="18.75">
      <c r="A162" s="88"/>
      <c r="B162" s="121">
        <v>4320</v>
      </c>
      <c r="C162" s="121" t="s">
        <v>256</v>
      </c>
      <c r="D162" s="88" t="s">
        <v>909</v>
      </c>
      <c r="E162" s="121">
        <v>54</v>
      </c>
      <c r="F162" s="46" t="s">
        <v>910</v>
      </c>
      <c r="G162" s="26" t="s">
        <v>78</v>
      </c>
      <c r="H162" s="122">
        <v>8500</v>
      </c>
      <c r="I162" s="123"/>
      <c r="J162" s="130" t="str">
        <f>HYPERLINK("https://drive.google.com/open?id=0B2rLR4BADrBtTnhUMmFORG9hUEE","4320")</f>
        <v>4320</v>
      </c>
      <c r="K162" s="132" t="str">
        <f t="shared" si="26"/>
        <v>4320</v>
      </c>
      <c r="L162" s="125"/>
      <c r="M162" s="46"/>
      <c r="N162" s="126"/>
      <c r="O162" s="126"/>
      <c r="P162" s="126"/>
      <c r="Q162" s="126"/>
      <c r="R162" s="126"/>
      <c r="S162" s="126"/>
      <c r="T162" s="135">
        <v>15</v>
      </c>
      <c r="U162" s="135">
        <f t="shared" si="22"/>
        <v>2567</v>
      </c>
      <c r="V162" s="129" t="str">
        <f t="shared" si="23"/>
        <v>43</v>
      </c>
      <c r="W162" s="121">
        <f t="shared" si="24"/>
        <v>36</v>
      </c>
      <c r="X162" s="121"/>
      <c r="Y162" s="121"/>
      <c r="Z162" s="121"/>
      <c r="AA162" s="121"/>
    </row>
    <row r="163" spans="1:27" ht="18.75">
      <c r="A163" s="88"/>
      <c r="B163" s="121">
        <v>4320</v>
      </c>
      <c r="C163" s="121" t="s">
        <v>256</v>
      </c>
      <c r="D163" s="88" t="s">
        <v>911</v>
      </c>
      <c r="E163" s="121">
        <v>54</v>
      </c>
      <c r="F163" s="46" t="s">
        <v>912</v>
      </c>
      <c r="G163" s="26" t="s">
        <v>78</v>
      </c>
      <c r="H163" s="122">
        <v>14000</v>
      </c>
      <c r="I163" s="123"/>
      <c r="J163" s="130" t="str">
        <f>HYPERLINK("https://drive.google.com/open?id=0B2rLR4BADrBtWmdVUmQweHBadUU","4320")</f>
        <v>4320</v>
      </c>
      <c r="K163" s="132" t="str">
        <f t="shared" si="26"/>
        <v>4320</v>
      </c>
      <c r="L163" s="125"/>
      <c r="M163" s="46"/>
      <c r="N163" s="126"/>
      <c r="O163" s="126"/>
      <c r="P163" s="126"/>
      <c r="Q163" s="126"/>
      <c r="R163" s="126"/>
      <c r="S163" s="126"/>
      <c r="T163" s="135">
        <v>15</v>
      </c>
      <c r="U163" s="135">
        <f t="shared" si="22"/>
        <v>2567</v>
      </c>
      <c r="V163" s="129" t="str">
        <f t="shared" si="23"/>
        <v>43</v>
      </c>
      <c r="W163" s="121">
        <f t="shared" si="24"/>
        <v>36</v>
      </c>
      <c r="X163" s="121"/>
      <c r="Y163" s="121"/>
      <c r="Z163" s="121"/>
      <c r="AA163" s="121"/>
    </row>
    <row r="164" spans="1:27" ht="18.75">
      <c r="A164" s="88"/>
      <c r="B164" s="121">
        <v>4320</v>
      </c>
      <c r="C164" s="121" t="s">
        <v>256</v>
      </c>
      <c r="D164" s="88" t="s">
        <v>913</v>
      </c>
      <c r="E164" s="121">
        <v>54</v>
      </c>
      <c r="F164" s="46" t="s">
        <v>914</v>
      </c>
      <c r="G164" s="26" t="s">
        <v>78</v>
      </c>
      <c r="H164" s="122">
        <v>21000</v>
      </c>
      <c r="I164" s="123"/>
      <c r="J164" s="124"/>
      <c r="K164" s="132" t="str">
        <f t="shared" si="26"/>
        <v>4320</v>
      </c>
      <c r="L164" s="125"/>
      <c r="M164" s="46"/>
      <c r="N164" s="126"/>
      <c r="O164" s="126"/>
      <c r="P164" s="126"/>
      <c r="Q164" s="126"/>
      <c r="R164" s="126"/>
      <c r="S164" s="126"/>
      <c r="T164" s="128">
        <v>15</v>
      </c>
      <c r="U164" s="128">
        <f t="shared" si="22"/>
        <v>2567</v>
      </c>
      <c r="V164" s="129" t="str">
        <f t="shared" si="23"/>
        <v>43</v>
      </c>
      <c r="W164" s="121">
        <f t="shared" si="24"/>
        <v>36</v>
      </c>
      <c r="X164" s="121"/>
      <c r="Y164" s="121"/>
      <c r="Z164" s="121"/>
      <c r="AA164" s="121"/>
    </row>
    <row r="165" spans="1:27" ht="18.75">
      <c r="A165" s="88"/>
      <c r="B165" s="121">
        <v>4320</v>
      </c>
      <c r="C165" s="121" t="s">
        <v>256</v>
      </c>
      <c r="D165" s="88" t="s">
        <v>915</v>
      </c>
      <c r="E165" s="121">
        <v>54</v>
      </c>
      <c r="F165" s="46" t="s">
        <v>916</v>
      </c>
      <c r="G165" s="26" t="s">
        <v>78</v>
      </c>
      <c r="H165" s="122">
        <v>15000</v>
      </c>
      <c r="I165" s="123"/>
      <c r="J165" s="130" t="str">
        <f>HYPERLINK("https://drive.google.com/open?id=0B2rLR4BADrBtcE41dHdTRFB1UUU","4320")</f>
        <v>4320</v>
      </c>
      <c r="K165" s="132" t="str">
        <f t="shared" si="26"/>
        <v>4320</v>
      </c>
      <c r="L165" s="125"/>
      <c r="M165" s="46"/>
      <c r="N165" s="126"/>
      <c r="O165" s="126"/>
      <c r="P165" s="126"/>
      <c r="Q165" s="126"/>
      <c r="R165" s="126"/>
      <c r="S165" s="126"/>
      <c r="T165" s="128">
        <v>15</v>
      </c>
      <c r="U165" s="128">
        <f t="shared" si="22"/>
        <v>2567</v>
      </c>
      <c r="V165" s="129" t="str">
        <f t="shared" si="23"/>
        <v>43</v>
      </c>
      <c r="W165" s="121">
        <f t="shared" si="24"/>
        <v>36</v>
      </c>
      <c r="X165" s="121"/>
      <c r="Y165" s="121"/>
      <c r="Z165" s="121"/>
      <c r="AA165" s="121"/>
    </row>
    <row r="166" spans="1:27" ht="18.75">
      <c r="A166" s="88"/>
      <c r="B166" s="121">
        <v>4320</v>
      </c>
      <c r="C166" s="121" t="s">
        <v>256</v>
      </c>
      <c r="D166" s="88" t="s">
        <v>917</v>
      </c>
      <c r="E166" s="121">
        <v>56</v>
      </c>
      <c r="F166" s="46" t="s">
        <v>918</v>
      </c>
      <c r="G166" s="26" t="s">
        <v>78</v>
      </c>
      <c r="H166" s="122">
        <v>260000</v>
      </c>
      <c r="I166" s="123"/>
      <c r="J166" s="130" t="str">
        <f>HYPERLINK("https://drive.google.com/open?id=0B2rLR4BADrBtOE4teGFJS1VYdmM","4320")</f>
        <v>4320</v>
      </c>
      <c r="K166" s="132" t="str">
        <f t="shared" si="26"/>
        <v>4320</v>
      </c>
      <c r="L166" s="125"/>
      <c r="M166" s="46"/>
      <c r="N166" s="126"/>
      <c r="O166" s="126"/>
      <c r="P166" s="126"/>
      <c r="Q166" s="126"/>
      <c r="R166" s="126"/>
      <c r="S166" s="126"/>
      <c r="T166" s="135">
        <v>15</v>
      </c>
      <c r="U166" s="135">
        <f t="shared" si="22"/>
        <v>2569</v>
      </c>
      <c r="V166" s="129" t="str">
        <f t="shared" si="23"/>
        <v>43</v>
      </c>
      <c r="W166" s="121">
        <f t="shared" si="24"/>
        <v>36</v>
      </c>
      <c r="X166" s="121"/>
      <c r="Y166" s="121"/>
      <c r="Z166" s="121"/>
      <c r="AA166" s="121"/>
    </row>
    <row r="167" spans="1:27" ht="18.75">
      <c r="A167" s="88"/>
      <c r="B167" s="121">
        <v>4320</v>
      </c>
      <c r="C167" s="121" t="s">
        <v>256</v>
      </c>
      <c r="D167" s="88" t="s">
        <v>921</v>
      </c>
      <c r="E167" s="121">
        <v>56</v>
      </c>
      <c r="F167" s="46" t="s">
        <v>922</v>
      </c>
      <c r="G167" s="26" t="s">
        <v>78</v>
      </c>
      <c r="H167" s="122">
        <v>75000</v>
      </c>
      <c r="I167" s="123"/>
      <c r="J167" s="130" t="str">
        <f>HYPERLINK("https://drive.google.com/open?id=0B2rLR4BADrBtMjh0dW9aWFRseGs","4320")</f>
        <v>4320</v>
      </c>
      <c r="K167" s="132" t="str">
        <f t="shared" si="26"/>
        <v>4320</v>
      </c>
      <c r="L167" s="125"/>
      <c r="M167" s="46"/>
      <c r="N167" s="126"/>
      <c r="O167" s="126"/>
      <c r="P167" s="126"/>
      <c r="Q167" s="126"/>
      <c r="R167" s="126"/>
      <c r="S167" s="126"/>
      <c r="T167" s="135">
        <v>15</v>
      </c>
      <c r="U167" s="135">
        <f t="shared" si="22"/>
        <v>2569</v>
      </c>
      <c r="V167" s="129" t="str">
        <f t="shared" si="23"/>
        <v>43</v>
      </c>
      <c r="W167" s="121">
        <f t="shared" si="24"/>
        <v>36</v>
      </c>
      <c r="X167" s="121"/>
      <c r="Y167" s="121"/>
      <c r="Z167" s="121"/>
      <c r="AA167" s="121"/>
    </row>
    <row r="168" spans="1:27" ht="18.75">
      <c r="A168" s="88"/>
      <c r="B168" s="121">
        <v>4320</v>
      </c>
      <c r="C168" s="121" t="s">
        <v>256</v>
      </c>
      <c r="D168" s="88" t="s">
        <v>923</v>
      </c>
      <c r="E168" s="121">
        <v>56</v>
      </c>
      <c r="F168" s="46" t="s">
        <v>924</v>
      </c>
      <c r="G168" s="26" t="s">
        <v>78</v>
      </c>
      <c r="H168" s="122">
        <v>80000</v>
      </c>
      <c r="I168" s="123"/>
      <c r="J168" s="130" t="str">
        <f>HYPERLINK("https://drive.google.com/open?id=0B2rLR4BADrBtVWNGMUk3OXA5R0U","4320")</f>
        <v>4320</v>
      </c>
      <c r="K168" s="132" t="str">
        <f t="shared" si="26"/>
        <v>4320</v>
      </c>
      <c r="L168" s="125"/>
      <c r="M168" s="46"/>
      <c r="N168" s="126"/>
      <c r="O168" s="126"/>
      <c r="P168" s="126"/>
      <c r="Q168" s="126"/>
      <c r="R168" s="126"/>
      <c r="S168" s="126"/>
      <c r="T168" s="135">
        <v>15</v>
      </c>
      <c r="U168" s="135">
        <f t="shared" si="22"/>
        <v>2569</v>
      </c>
      <c r="V168" s="129" t="str">
        <f t="shared" si="23"/>
        <v>43</v>
      </c>
      <c r="W168" s="121">
        <f t="shared" si="24"/>
        <v>36</v>
      </c>
      <c r="X168" s="121"/>
      <c r="Y168" s="121"/>
      <c r="Z168" s="121"/>
      <c r="AA168" s="121"/>
    </row>
    <row r="169" spans="1:27" ht="18.75">
      <c r="A169" s="118"/>
      <c r="B169" s="118">
        <v>4400</v>
      </c>
      <c r="C169" s="117"/>
      <c r="D169" s="117" t="str">
        <f>"พัสดุ"&amp; VLOOKUP(V169,'เลขSpec.2 ตัวแรก'!$A$2:$B$100,2,FALSE)&amp; " จำนวน "&amp;W169&amp;" รายการ"</f>
        <v>พัสดุหมวด 44 เตาหลอม เครื่องไอน้ำและบริภัณฑ์ทำให้แห้ง จำนวน 8 รายการ</v>
      </c>
      <c r="E169" s="117"/>
      <c r="F169" s="118"/>
      <c r="G169" s="117"/>
      <c r="H169" s="117"/>
      <c r="I169" s="117"/>
      <c r="J169" s="117"/>
      <c r="K169" s="117"/>
      <c r="L169" s="119"/>
      <c r="M169" s="118"/>
      <c r="N169" s="119"/>
      <c r="O169" s="117"/>
      <c r="P169" s="117"/>
      <c r="Q169" s="117"/>
      <c r="R169" s="118"/>
      <c r="S169" s="117"/>
      <c r="T169" s="117"/>
      <c r="U169" s="117"/>
      <c r="V169" s="117" t="str">
        <f t="shared" si="23"/>
        <v>44</v>
      </c>
      <c r="W169" s="117">
        <f>COUNTIF($V$2:$V$286,V169)-1</f>
        <v>8</v>
      </c>
      <c r="X169" s="119"/>
      <c r="Y169" s="24"/>
      <c r="Z169" s="24"/>
      <c r="AA169" s="24"/>
    </row>
    <row r="170" spans="1:27" ht="18.75">
      <c r="A170" s="88"/>
      <c r="B170" s="121">
        <v>4440</v>
      </c>
      <c r="C170" s="121" t="s">
        <v>372</v>
      </c>
      <c r="D170" s="88" t="s">
        <v>927</v>
      </c>
      <c r="E170" s="121">
        <v>55</v>
      </c>
      <c r="F170" s="46" t="s">
        <v>928</v>
      </c>
      <c r="G170" s="26" t="s">
        <v>78</v>
      </c>
      <c r="H170" s="122">
        <v>455000</v>
      </c>
      <c r="I170" s="123"/>
      <c r="J170" s="130" t="str">
        <f>HYPERLINK("https://drive.google.com/open?id=0B2rLR4BADrBtME90b3NzbDlac2c","4440")</f>
        <v>4440</v>
      </c>
      <c r="K170" s="132" t="str">
        <f>HYPERLINK("https://drive.google.com/drive/folders/0BwN2QqBc2z4QfmlKYlJFeEl3MzFrVnpLMm5WVWlvMThwdkxFUEV3dzZ3S0d3eWJGVXNHeE0","4440")</f>
        <v>4440</v>
      </c>
      <c r="L170" s="148">
        <v>4440356813263</v>
      </c>
      <c r="M170" s="46"/>
      <c r="N170" s="126"/>
      <c r="O170" s="126"/>
      <c r="P170" s="126"/>
      <c r="Q170" s="126"/>
      <c r="R170" s="126"/>
      <c r="S170" s="126"/>
      <c r="T170" s="135">
        <v>15</v>
      </c>
      <c r="U170" s="135">
        <f>E170+T170-2+2500</f>
        <v>2568</v>
      </c>
      <c r="V170" s="26" t="str">
        <f t="shared" si="23"/>
        <v>44</v>
      </c>
      <c r="W170" s="121">
        <f>COUNTIF('สำเนาของ 52-62 (สำหรับ จก.ตรวจเ'!$V$4:$V$286,V170)-1</f>
        <v>8</v>
      </c>
      <c r="X170" s="121" t="s">
        <v>548</v>
      </c>
      <c r="Y170" s="121"/>
      <c r="Z170" s="121"/>
      <c r="AA170" s="121"/>
    </row>
    <row r="171" spans="1:27" ht="18.75">
      <c r="A171" s="88"/>
      <c r="B171" s="121">
        <v>4440</v>
      </c>
      <c r="C171" s="121" t="s">
        <v>372</v>
      </c>
      <c r="D171" s="88" t="s">
        <v>929</v>
      </c>
      <c r="E171" s="121">
        <v>55</v>
      </c>
      <c r="F171" s="46" t="s">
        <v>930</v>
      </c>
      <c r="G171" s="26" t="s">
        <v>78</v>
      </c>
      <c r="H171" s="122">
        <v>650000</v>
      </c>
      <c r="I171" s="123"/>
      <c r="J171" s="130" t="str">
        <f>HYPERLINK("https://drive.google.com/open?id=0B2rLR4BADrBtVnIxYmlpdVJ4ZmM","4440")</f>
        <v>4440</v>
      </c>
      <c r="K171" s="132" t="str">
        <f>HYPERLINK("https://drive.google.com/drive/folders/0BwN2QqBc2z4QfmlKYlJFeEl3MzFrVnpLMm5WVWlvMThwdkxFUEV3dzZ3S0d3eWJGVXNHeE0","4440")</f>
        <v>4440</v>
      </c>
      <c r="L171" s="148">
        <v>4440356813267</v>
      </c>
      <c r="M171" s="46"/>
      <c r="N171" s="126"/>
      <c r="O171" s="126"/>
      <c r="P171" s="126"/>
      <c r="Q171" s="126"/>
      <c r="R171" s="126"/>
      <c r="S171" s="126"/>
      <c r="T171" s="135">
        <v>15</v>
      </c>
      <c r="U171" s="135">
        <f>E171+T171-2+2500</f>
        <v>2568</v>
      </c>
      <c r="V171" s="26" t="str">
        <f t="shared" si="23"/>
        <v>44</v>
      </c>
      <c r="W171" s="121">
        <f>COUNTIF('สำเนาของ 52-62 (สำหรับ จก.ตรวจเ'!$V$4:$V$286,V171)-1</f>
        <v>8</v>
      </c>
      <c r="X171" s="121" t="s">
        <v>548</v>
      </c>
      <c r="Y171" s="121"/>
      <c r="Z171" s="121"/>
      <c r="AA171" s="121"/>
    </row>
    <row r="172" spans="1:27" ht="18.75">
      <c r="A172" s="88"/>
      <c r="B172" s="121">
        <v>4440</v>
      </c>
      <c r="C172" s="121" t="s">
        <v>372</v>
      </c>
      <c r="D172" s="88" t="s">
        <v>931</v>
      </c>
      <c r="E172" s="121">
        <v>55</v>
      </c>
      <c r="F172" s="46" t="s">
        <v>932</v>
      </c>
      <c r="G172" s="26" t="s">
        <v>78</v>
      </c>
      <c r="H172" s="122">
        <v>850000</v>
      </c>
      <c r="I172" s="123"/>
      <c r="J172" s="130" t="str">
        <f>HYPERLINK("https://drive.google.com/open?id=0B2rLR4BADrBtRnpBMzFlNnlXLWc","4440")</f>
        <v>4440</v>
      </c>
      <c r="K172" s="132" t="str">
        <f>HYPERLINK("https://drive.google.com/drive/folders/0BwN2QqBc2z4QfmlKYlJFeEl3MzFrVnpLMm5WVWlvMThwdkxFUEV3dzZ3S0d3eWJGVXNHeE0","4440")</f>
        <v>4440</v>
      </c>
      <c r="L172" s="148">
        <v>4440356813276</v>
      </c>
      <c r="M172" s="46"/>
      <c r="N172" s="126"/>
      <c r="O172" s="126"/>
      <c r="P172" s="126"/>
      <c r="Q172" s="126"/>
      <c r="R172" s="126"/>
      <c r="S172" s="126"/>
      <c r="T172" s="135">
        <v>15</v>
      </c>
      <c r="U172" s="135">
        <f>E172+T172-2+2500</f>
        <v>2568</v>
      </c>
      <c r="V172" s="26" t="str">
        <f t="shared" si="23"/>
        <v>44</v>
      </c>
      <c r="W172" s="121">
        <f>COUNTIF('สำเนาของ 52-62 (สำหรับ จก.ตรวจเ'!$V$4:$V$286,V172)-1</f>
        <v>8</v>
      </c>
      <c r="X172" s="121" t="s">
        <v>548</v>
      </c>
      <c r="Y172" s="121"/>
      <c r="Z172" s="121"/>
      <c r="AA172" s="121"/>
    </row>
    <row r="173" spans="1:27" ht="18.75">
      <c r="A173" s="88"/>
      <c r="B173" s="121">
        <v>4440</v>
      </c>
      <c r="C173" s="121" t="s">
        <v>372</v>
      </c>
      <c r="D173" s="88" t="s">
        <v>933</v>
      </c>
      <c r="E173" s="121">
        <v>55</v>
      </c>
      <c r="F173" s="46" t="s">
        <v>934</v>
      </c>
      <c r="G173" s="26" t="s">
        <v>78</v>
      </c>
      <c r="H173" s="122">
        <v>255000</v>
      </c>
      <c r="I173" s="123"/>
      <c r="J173" s="130" t="str">
        <f>HYPERLINK("https://drive.google.com/open?id=0B2rLR4BADrBtWnpYSGN3eDk4TVU","4440")</f>
        <v>4440</v>
      </c>
      <c r="K173" s="132" t="str">
        <f>HYPERLINK("https://drive.google.com/drive/folders/0BwN2QqBc2z4QfmlKYlJFeEl3MzFrVnpLMm5WVWlvMThwdkxFUEV3dzZ3S0d3eWJGVXNHeE0","4440")</f>
        <v>4440</v>
      </c>
      <c r="L173" s="148">
        <v>4440356813277</v>
      </c>
      <c r="M173" s="46"/>
      <c r="N173" s="126"/>
      <c r="O173" s="126"/>
      <c r="P173" s="126"/>
      <c r="Q173" s="126"/>
      <c r="R173" s="126"/>
      <c r="S173" s="126"/>
      <c r="T173" s="135">
        <v>15</v>
      </c>
      <c r="U173" s="135">
        <f>E173+T173-2+2500</f>
        <v>2568</v>
      </c>
      <c r="V173" s="26" t="str">
        <f t="shared" si="23"/>
        <v>44</v>
      </c>
      <c r="W173" s="121">
        <f>COUNTIF('สำเนาของ 52-62 (สำหรับ จก.ตรวจเ'!$V$4:$V$286,V173)-1</f>
        <v>8</v>
      </c>
      <c r="X173" s="121" t="s">
        <v>548</v>
      </c>
      <c r="Y173" s="121"/>
      <c r="Z173" s="121"/>
      <c r="AA173" s="121"/>
    </row>
    <row r="174" spans="1:27" ht="18.75">
      <c r="A174" s="88"/>
      <c r="B174" s="121">
        <v>4460</v>
      </c>
      <c r="C174" s="121" t="s">
        <v>683</v>
      </c>
      <c r="D174" s="88" t="s">
        <v>935</v>
      </c>
      <c r="E174" s="121">
        <v>61</v>
      </c>
      <c r="F174" s="46" t="s">
        <v>720</v>
      </c>
      <c r="G174" s="26" t="s">
        <v>78</v>
      </c>
      <c r="H174" s="122">
        <v>175000</v>
      </c>
      <c r="I174" s="123"/>
      <c r="J174" s="130" t="str">
        <f>HYPERLINK("https://drive.google.com/open?id=1j-lp9rojTnyC4oWYkiDQXyIf_w8sgig-","4460")</f>
        <v>4460</v>
      </c>
      <c r="K174" s="125"/>
      <c r="L174" s="125"/>
      <c r="M174" s="46"/>
      <c r="N174" s="126"/>
      <c r="O174" s="126"/>
      <c r="P174" s="126"/>
      <c r="Q174" s="126"/>
      <c r="R174" s="126"/>
      <c r="S174" s="126"/>
      <c r="T174" s="128"/>
      <c r="U174" s="128"/>
      <c r="V174" s="26" t="str">
        <f t="shared" si="23"/>
        <v>44</v>
      </c>
      <c r="W174" s="121">
        <f>COUNTIF('สำเนาของ 52-62 (สำหรับ จก.ตรวจเ'!$V$4:$V$286,V174)-1</f>
        <v>8</v>
      </c>
      <c r="X174" s="121"/>
      <c r="Y174" s="121"/>
      <c r="Z174" s="121"/>
      <c r="AA174" s="121"/>
    </row>
    <row r="175" spans="1:27" ht="18.75">
      <c r="A175" s="88"/>
      <c r="B175" s="121">
        <v>4460</v>
      </c>
      <c r="C175" s="121" t="s">
        <v>372</v>
      </c>
      <c r="D175" s="88" t="s">
        <v>936</v>
      </c>
      <c r="E175" s="121">
        <v>52</v>
      </c>
      <c r="F175" s="46" t="s">
        <v>937</v>
      </c>
      <c r="G175" s="26" t="s">
        <v>78</v>
      </c>
      <c r="H175" s="122">
        <v>55000</v>
      </c>
      <c r="I175" s="123"/>
      <c r="J175" s="130" t="str">
        <f>HYPERLINK("https://drive.google.com/open?id=0B2rLR4BADrBtRG9hZjBOclJ2S28","4460")</f>
        <v>4460</v>
      </c>
      <c r="K175" s="132" t="str">
        <f>HYPERLINK("https://drive.google.com/drive/folders/0BwN2QqBc2z4QfmlKYlJFeEl3MzFrVnpLMm5WVWlvMThwdkxFUEV3dzZ3S0d3eWJGVXNHeE0","4440")</f>
        <v>4440</v>
      </c>
      <c r="L175" s="88" t="s">
        <v>938</v>
      </c>
      <c r="M175" s="46"/>
      <c r="N175" s="126"/>
      <c r="O175" s="126"/>
      <c r="P175" s="126"/>
      <c r="Q175" s="126"/>
      <c r="R175" s="126"/>
      <c r="S175" s="126"/>
      <c r="T175" s="128">
        <v>15</v>
      </c>
      <c r="U175" s="128">
        <f>E175+T175-2+2500</f>
        <v>2565</v>
      </c>
      <c r="V175" s="26" t="str">
        <f t="shared" si="23"/>
        <v>44</v>
      </c>
      <c r="W175" s="121">
        <f>COUNTIF($V$4:$V$286,V175)-1</f>
        <v>8</v>
      </c>
      <c r="X175" s="121" t="s">
        <v>548</v>
      </c>
      <c r="Y175" s="121"/>
      <c r="Z175" s="121"/>
      <c r="AA175" s="121"/>
    </row>
    <row r="176" spans="1:27" ht="18.75">
      <c r="A176" s="88"/>
      <c r="B176" s="121">
        <v>4460</v>
      </c>
      <c r="C176" s="121" t="s">
        <v>157</v>
      </c>
      <c r="D176" s="88" t="s">
        <v>939</v>
      </c>
      <c r="E176" s="121">
        <v>52</v>
      </c>
      <c r="F176" s="46" t="s">
        <v>940</v>
      </c>
      <c r="G176" s="26" t="s">
        <v>78</v>
      </c>
      <c r="H176" s="122">
        <v>47000</v>
      </c>
      <c r="I176" s="123"/>
      <c r="J176" s="130" t="str">
        <f>HYPERLINK("https://drive.google.com/open?id=0B2rLR4BADrBtajNua2hRbl9FTEU","4460")</f>
        <v>4460</v>
      </c>
      <c r="K176" s="132" t="str">
        <f>HYPERLINK("https://drive.google.com/drive/folders/0BwN2QqBc2z4QfmlKYlJFeEl3MzFrVnpLMm5WVWlvMThwdkxFUEV3dzZ3S0d3eWJGVXNHeE0","4440")</f>
        <v>4440</v>
      </c>
      <c r="L176" s="125"/>
      <c r="M176" s="46"/>
      <c r="N176" s="126"/>
      <c r="O176" s="126"/>
      <c r="P176" s="126"/>
      <c r="Q176" s="126"/>
      <c r="R176" s="126"/>
      <c r="S176" s="126"/>
      <c r="T176" s="128">
        <v>15</v>
      </c>
      <c r="U176" s="128">
        <f>E176+T176-2+2500</f>
        <v>2565</v>
      </c>
      <c r="V176" s="26" t="str">
        <f t="shared" si="23"/>
        <v>44</v>
      </c>
      <c r="W176" s="121">
        <f>COUNTIF($V$4:$V$286,V176)-1</f>
        <v>8</v>
      </c>
      <c r="X176" s="121"/>
      <c r="Y176" s="121"/>
      <c r="Z176" s="121"/>
      <c r="AA176" s="121"/>
    </row>
    <row r="177" spans="1:27" ht="18.75">
      <c r="A177" s="88"/>
      <c r="B177" s="121">
        <v>4460</v>
      </c>
      <c r="C177" s="121" t="s">
        <v>683</v>
      </c>
      <c r="D177" s="88" t="s">
        <v>941</v>
      </c>
      <c r="E177" s="121">
        <v>52</v>
      </c>
      <c r="F177" s="46" t="s">
        <v>942</v>
      </c>
      <c r="G177" s="26" t="s">
        <v>78</v>
      </c>
      <c r="H177" s="122">
        <v>300000</v>
      </c>
      <c r="I177" s="123"/>
      <c r="J177" s="130" t="str">
        <f>HYPERLINK("https://drive.google.com/open?id=0B2rLR4BADrBtUzJObnNPWk1tcGc","4460")</f>
        <v>4460</v>
      </c>
      <c r="K177" s="132" t="str">
        <f>HYPERLINK("https://drive.google.com/drive/folders/0BwN2QqBc2z4QfmlKYlJFeEl3MzFrVnpLMm5WVWlvMThwdkxFUEV3dzZ3S0d3eWJGVXNHeE0","4440")</f>
        <v>4440</v>
      </c>
      <c r="L177" s="125"/>
      <c r="M177" s="46"/>
      <c r="N177" s="126"/>
      <c r="O177" s="126"/>
      <c r="P177" s="126"/>
      <c r="Q177" s="126"/>
      <c r="R177" s="126"/>
      <c r="S177" s="126"/>
      <c r="T177" s="135">
        <v>15</v>
      </c>
      <c r="U177" s="135">
        <f>E177+T177-2+2500</f>
        <v>2565</v>
      </c>
      <c r="V177" s="26" t="str">
        <f t="shared" si="23"/>
        <v>44</v>
      </c>
      <c r="W177" s="121">
        <f>COUNTIF('สำเนาของ 52-62 (สำหรับ จก.ตรวจเ'!$V$4:$V$286,V177)-1</f>
        <v>8</v>
      </c>
      <c r="X177" s="121"/>
      <c r="Y177" s="121"/>
      <c r="Z177" s="121"/>
      <c r="AA177" s="121"/>
    </row>
    <row r="178" spans="1:27" ht="18.75">
      <c r="A178" s="88"/>
      <c r="B178" s="121">
        <v>4460</v>
      </c>
      <c r="C178" s="121" t="s">
        <v>683</v>
      </c>
      <c r="D178" s="88" t="s">
        <v>943</v>
      </c>
      <c r="E178" s="121">
        <v>62</v>
      </c>
      <c r="F178" s="46" t="s">
        <v>944</v>
      </c>
      <c r="G178" s="26" t="s">
        <v>78</v>
      </c>
      <c r="H178" s="122">
        <v>790000</v>
      </c>
      <c r="I178" s="123"/>
      <c r="J178" s="130" t="str">
        <f>HYPERLINK("https://drive.google.com/open?id=1E530HjiShObF2twy1mGVPG8YpAE9qT_Z","4460")</f>
        <v>4460</v>
      </c>
      <c r="K178" s="125"/>
      <c r="L178" s="125"/>
      <c r="M178" s="46"/>
      <c r="N178" s="126"/>
      <c r="O178" s="126"/>
      <c r="P178" s="126"/>
      <c r="Q178" s="126"/>
      <c r="R178" s="126"/>
      <c r="S178" s="126"/>
      <c r="T178" s="128"/>
      <c r="U178" s="128"/>
      <c r="V178" s="26"/>
      <c r="W178" s="121"/>
      <c r="X178" s="121"/>
      <c r="Y178" s="121"/>
      <c r="Z178" s="121"/>
      <c r="AA178" s="121"/>
    </row>
    <row r="179" spans="1:27" ht="18.75">
      <c r="A179" s="118"/>
      <c r="B179" s="118">
        <v>4500</v>
      </c>
      <c r="C179" s="117"/>
      <c r="D179" s="117" t="str">
        <f>"พัสดุ"&amp; VLOOKUP(V179,'เลขSpec.2 ตัวแรก'!$A$2:$B$100,2,FALSE)&amp; " จำนวน "&amp;W179&amp;" รายการ"</f>
        <v>พัสดุหมวด 45 บริภัณฑ์เครื่องห่อ บริภัณฑ์ทำความร้อนและบริภัณฑ์สุขาภิบาล จำนวน 2 รายการ</v>
      </c>
      <c r="E179" s="117"/>
      <c r="F179" s="118"/>
      <c r="G179" s="117"/>
      <c r="H179" s="117"/>
      <c r="I179" s="117"/>
      <c r="J179" s="117"/>
      <c r="K179" s="117"/>
      <c r="L179" s="119"/>
      <c r="M179" s="118"/>
      <c r="N179" s="119"/>
      <c r="O179" s="117"/>
      <c r="P179" s="117"/>
      <c r="Q179" s="117"/>
      <c r="R179" s="118"/>
      <c r="S179" s="117"/>
      <c r="T179" s="117"/>
      <c r="U179" s="117"/>
      <c r="V179" s="117" t="str">
        <f>LEFT(B179, SEARCH("",B179,2))</f>
        <v>45</v>
      </c>
      <c r="W179" s="117">
        <f>COUNTIF($V$2:$V$286,V179)-1</f>
        <v>2</v>
      </c>
      <c r="X179" s="119"/>
      <c r="Y179" s="24"/>
      <c r="Z179" s="24"/>
      <c r="AA179" s="24"/>
    </row>
    <row r="180" spans="1:27" ht="18.75">
      <c r="A180" s="88"/>
      <c r="B180" s="121">
        <v>4520</v>
      </c>
      <c r="C180" s="121" t="s">
        <v>157</v>
      </c>
      <c r="D180" s="88" t="s">
        <v>947</v>
      </c>
      <c r="E180" s="121">
        <v>52</v>
      </c>
      <c r="F180" s="46" t="s">
        <v>948</v>
      </c>
      <c r="G180" s="26" t="s">
        <v>78</v>
      </c>
      <c r="H180" s="122">
        <v>28000</v>
      </c>
      <c r="I180" s="123"/>
      <c r="J180" s="130" t="str">
        <f>HYPERLINK("https://drive.google.com/open?id=0B2rLR4BADrBtdmdZRHgtU2NJRUk","4520")</f>
        <v>4520</v>
      </c>
      <c r="K180" s="133" t="str">
        <f>HYPERLINK("https://drive.google.com/drive/folders/0BwQ57SNHxB3BWWJlNDMxbVlDaG8","4520")</f>
        <v>4520</v>
      </c>
      <c r="L180" s="134"/>
      <c r="M180" s="46"/>
      <c r="N180" s="126"/>
      <c r="O180" s="126"/>
      <c r="P180" s="126"/>
      <c r="Q180" s="126"/>
      <c r="R180" s="126"/>
      <c r="S180" s="126"/>
      <c r="T180" s="128">
        <v>15</v>
      </c>
      <c r="U180" s="128">
        <f>E180+T180-2+2500</f>
        <v>2565</v>
      </c>
      <c r="V180" s="129" t="str">
        <f>LEFT(B180, SEARCH("",B180,2))</f>
        <v>45</v>
      </c>
      <c r="W180" s="121">
        <f>COUNTIF('สำเนาของ 52-62 (สำหรับ จก.ตรวจเ'!$V$4:$V$286,V180)-1</f>
        <v>2</v>
      </c>
      <c r="X180" s="121"/>
      <c r="Y180" s="121"/>
      <c r="Z180" s="121"/>
      <c r="AA180" s="121"/>
    </row>
    <row r="181" spans="1:27" ht="18.75">
      <c r="A181" s="88"/>
      <c r="B181" s="121">
        <v>4520</v>
      </c>
      <c r="C181" s="121" t="s">
        <v>157</v>
      </c>
      <c r="D181" s="88" t="s">
        <v>949</v>
      </c>
      <c r="E181" s="121">
        <v>62</v>
      </c>
      <c r="F181" s="46" t="s">
        <v>950</v>
      </c>
      <c r="G181" s="26" t="s">
        <v>78</v>
      </c>
      <c r="H181" s="122">
        <v>25000</v>
      </c>
      <c r="I181" s="123"/>
      <c r="J181" s="131" t="str">
        <f>HYPERLINK("https://drive.google.com/file/d/1B4ft85WT7Xf5Ipu3lq78jpuOCYlNEH9W/view?usp=sharing","4520")</f>
        <v>4520</v>
      </c>
      <c r="K181" s="125"/>
      <c r="L181" s="125"/>
      <c r="M181" s="46"/>
      <c r="N181" s="126"/>
      <c r="O181" s="126"/>
      <c r="P181" s="126"/>
      <c r="Q181" s="126"/>
      <c r="R181" s="126"/>
      <c r="S181" s="126"/>
      <c r="T181" s="128"/>
      <c r="U181" s="128"/>
      <c r="V181" s="129"/>
      <c r="W181" s="121"/>
      <c r="X181" s="121"/>
      <c r="Y181" s="121"/>
      <c r="Z181" s="121"/>
      <c r="AA181" s="121"/>
    </row>
    <row r="182" spans="1:27" ht="18.75">
      <c r="A182" s="88"/>
      <c r="B182" s="121">
        <v>4520</v>
      </c>
      <c r="C182" s="121" t="s">
        <v>157</v>
      </c>
      <c r="D182" s="88" t="s">
        <v>951</v>
      </c>
      <c r="E182" s="121">
        <v>55</v>
      </c>
      <c r="F182" s="46" t="s">
        <v>952</v>
      </c>
      <c r="G182" s="26" t="s">
        <v>48</v>
      </c>
      <c r="H182" s="122">
        <v>8500</v>
      </c>
      <c r="I182" s="123"/>
      <c r="J182" s="130" t="str">
        <f>HYPERLINK("https://drive.google.com/open?id=0B2rLR4BADrBtbFN6VW9QQldTSEU","4520")</f>
        <v>4520</v>
      </c>
      <c r="K182" s="132" t="str">
        <f>HYPERLINK("https://drive.google.com/drive/folders/0BwN2QqBc2z4QfnJoMkFRMFdTOGxndDNRNFdpSnU4amJvVEJuUElfc2k0d1lObGQ3NXBvZHM","4520")</f>
        <v>4520</v>
      </c>
      <c r="L182" s="125"/>
      <c r="M182" s="46"/>
      <c r="N182" s="126"/>
      <c r="O182" s="126"/>
      <c r="P182" s="126"/>
      <c r="Q182" s="126"/>
      <c r="R182" s="126"/>
      <c r="S182" s="126"/>
      <c r="T182" s="128">
        <v>15</v>
      </c>
      <c r="U182" s="128">
        <f>E182+T182-2+2500</f>
        <v>2568</v>
      </c>
      <c r="V182" s="129" t="str">
        <f t="shared" ref="V182:V310" si="27">LEFT(B182, SEARCH("",B182,2))</f>
        <v>45</v>
      </c>
      <c r="W182" s="121">
        <f>COUNTIF('สำเนาของ 52-62 (สำหรับ จก.ตรวจเ'!$V$4:$V$286,V182)-1</f>
        <v>2</v>
      </c>
      <c r="X182" s="121"/>
      <c r="Y182" s="121"/>
      <c r="Z182" s="121"/>
      <c r="AA182" s="121"/>
    </row>
    <row r="183" spans="1:27" ht="18.75">
      <c r="A183" s="119"/>
      <c r="B183" s="118">
        <v>4600</v>
      </c>
      <c r="C183" s="119"/>
      <c r="D183" s="117" t="str">
        <f>"พัสดุ"&amp; VLOOKUP(V183,'เลขSpec.2 ตัวแรก'!$A$2:$B$100,2,FALSE)&amp; " จำนวน "&amp;W183&amp;" รายการ"</f>
        <v>พัสดุหมวด 46 บริภัณฑ์ทำให้น้ำบริสุทธิ์ บริภัณฑ์กำจัดสิ่งโสโครก จำนวน 6 รายการ</v>
      </c>
      <c r="E183" s="117"/>
      <c r="F183" s="117"/>
      <c r="G183" s="118"/>
      <c r="H183" s="117"/>
      <c r="I183" s="117"/>
      <c r="J183" s="117"/>
      <c r="K183" s="117"/>
      <c r="L183" s="117"/>
      <c r="M183" s="119"/>
      <c r="N183" s="119"/>
      <c r="O183" s="119"/>
      <c r="P183" s="117"/>
      <c r="Q183" s="117"/>
      <c r="R183" s="117"/>
      <c r="S183" s="118"/>
      <c r="T183" s="117"/>
      <c r="U183" s="117"/>
      <c r="V183" s="117" t="str">
        <f t="shared" si="27"/>
        <v>46</v>
      </c>
      <c r="W183" s="117">
        <f>COUNTIF($V$2:$V$286,V183)-1</f>
        <v>6</v>
      </c>
      <c r="X183" s="117"/>
      <c r="Y183" s="24"/>
      <c r="Z183" s="24"/>
      <c r="AA183" s="24"/>
    </row>
    <row r="184" spans="1:27" ht="18.75">
      <c r="A184" s="88"/>
      <c r="B184" s="121">
        <v>4610</v>
      </c>
      <c r="C184" s="121" t="s">
        <v>256</v>
      </c>
      <c r="D184" s="88" t="s">
        <v>954</v>
      </c>
      <c r="E184" s="121">
        <v>58</v>
      </c>
      <c r="F184" s="46" t="s">
        <v>955</v>
      </c>
      <c r="G184" s="26" t="s">
        <v>78</v>
      </c>
      <c r="H184" s="122">
        <v>22000</v>
      </c>
      <c r="I184" s="123"/>
      <c r="J184" s="130" t="str">
        <f>HYPERLINK("https://drive.google.com/open?id=0B2vBTVEfSzItTkZkYjRrVDVvOWs","4610")</f>
        <v>4610</v>
      </c>
      <c r="K184" s="132" t="str">
        <f>HYPERLINK("https://drive.google.com/drive/folders/0BwN2QqBc2z4QfldxYllLT2pwYnFkRVFyNF9FdFhjTDVXTjAyMzl1S0kyNlB2dmJBb1YyUW8","4610")</f>
        <v>4610</v>
      </c>
      <c r="L184" s="125"/>
      <c r="M184" s="46"/>
      <c r="N184" s="126"/>
      <c r="O184" s="126"/>
      <c r="P184" s="126"/>
      <c r="Q184" s="126"/>
      <c r="R184" s="126"/>
      <c r="S184" s="126"/>
      <c r="T184" s="135">
        <v>15</v>
      </c>
      <c r="U184" s="135">
        <f t="shared" ref="U184:U189" si="28">E184+T184-2+2500</f>
        <v>2571</v>
      </c>
      <c r="V184" s="129" t="str">
        <f t="shared" si="27"/>
        <v>46</v>
      </c>
      <c r="W184" s="121">
        <f>COUNTIF($V$4:$V$286,V184)-1</f>
        <v>6</v>
      </c>
      <c r="X184" s="121"/>
      <c r="Y184" s="121"/>
      <c r="Z184" s="121"/>
      <c r="AA184" s="121"/>
    </row>
    <row r="185" spans="1:27" ht="18.75">
      <c r="A185" s="88"/>
      <c r="B185" s="121">
        <v>4610</v>
      </c>
      <c r="C185" s="121" t="s">
        <v>256</v>
      </c>
      <c r="D185" s="88" t="s">
        <v>956</v>
      </c>
      <c r="E185" s="121">
        <v>54</v>
      </c>
      <c r="F185" s="46" t="s">
        <v>957</v>
      </c>
      <c r="G185" s="26" t="s">
        <v>78</v>
      </c>
      <c r="H185" s="122">
        <v>24000</v>
      </c>
      <c r="I185" s="123"/>
      <c r="J185" s="130" t="str">
        <f>HYPERLINK("https://drive.google.com/open?id=0B2rLR4BADrBtUDRxcEx1QW9xd2M","4610")</f>
        <v>4610</v>
      </c>
      <c r="K185" s="133" t="str">
        <f>HYPERLINK("https://drive.google.com/drive/folders/0BwQ57SNHxB3BTU9DYUl2X1ZkbU0","4610")</f>
        <v>4610</v>
      </c>
      <c r="L185" s="134"/>
      <c r="M185" s="46"/>
      <c r="N185" s="126"/>
      <c r="O185" s="126"/>
      <c r="P185" s="126"/>
      <c r="Q185" s="126"/>
      <c r="R185" s="126"/>
      <c r="S185" s="126"/>
      <c r="T185" s="128">
        <v>15</v>
      </c>
      <c r="U185" s="128">
        <f t="shared" si="28"/>
        <v>2567</v>
      </c>
      <c r="V185" s="129" t="str">
        <f t="shared" si="27"/>
        <v>46</v>
      </c>
      <c r="W185" s="121">
        <f>COUNTIF($V$4:$V$286,V185)-1</f>
        <v>6</v>
      </c>
      <c r="X185" s="121"/>
      <c r="Y185" s="121"/>
      <c r="Z185" s="121"/>
      <c r="AA185" s="121"/>
    </row>
    <row r="186" spans="1:27" ht="18.75">
      <c r="A186" s="88"/>
      <c r="B186" s="121">
        <v>4630</v>
      </c>
      <c r="C186" s="121" t="s">
        <v>256</v>
      </c>
      <c r="D186" s="88" t="s">
        <v>958</v>
      </c>
      <c r="E186" s="121">
        <v>55</v>
      </c>
      <c r="F186" s="46" t="s">
        <v>959</v>
      </c>
      <c r="G186" s="26" t="s">
        <v>78</v>
      </c>
      <c r="H186" s="122">
        <v>37000</v>
      </c>
      <c r="I186" s="123"/>
      <c r="J186" s="130" t="str">
        <f>HYPERLINK("https://drive.google.com/open?id=0B2rLR4BADrBtRnF4MGctS3hMeVU","4630")</f>
        <v>4630</v>
      </c>
      <c r="K186" s="132" t="str">
        <f>HYPERLINK("https://drive.google.com/drive/folders/0BwQ57SNHxB3BY3VvV0ZVcEQ3Z0k","4630")</f>
        <v>4630</v>
      </c>
      <c r="L186" s="125"/>
      <c r="M186" s="46"/>
      <c r="N186" s="126"/>
      <c r="O186" s="126"/>
      <c r="P186" s="126"/>
      <c r="Q186" s="126"/>
      <c r="R186" s="126"/>
      <c r="S186" s="126"/>
      <c r="T186" s="128">
        <v>15</v>
      </c>
      <c r="U186" s="128">
        <f t="shared" si="28"/>
        <v>2568</v>
      </c>
      <c r="V186" s="129" t="str">
        <f t="shared" si="27"/>
        <v>46</v>
      </c>
      <c r="W186" s="121">
        <f>COUNTIF($V$4:$V$286,V186)-1</f>
        <v>6</v>
      </c>
      <c r="X186" s="121"/>
      <c r="Y186" s="121"/>
      <c r="Z186" s="121"/>
      <c r="AA186" s="121"/>
    </row>
    <row r="187" spans="1:27" ht="18.75">
      <c r="A187" s="88"/>
      <c r="B187" s="121">
        <v>4630</v>
      </c>
      <c r="C187" s="121" t="s">
        <v>157</v>
      </c>
      <c r="D187" s="88" t="s">
        <v>960</v>
      </c>
      <c r="E187" s="121">
        <v>54</v>
      </c>
      <c r="F187" s="46" t="s">
        <v>961</v>
      </c>
      <c r="G187" s="26" t="s">
        <v>78</v>
      </c>
      <c r="H187" s="122">
        <v>25000</v>
      </c>
      <c r="I187" s="123"/>
      <c r="J187" s="130" t="str">
        <f>HYPERLINK("https://drive.google.com/open?id=0B2rLR4BADrBtTFdYeDdQeFNSQnc","4630")</f>
        <v>4630</v>
      </c>
      <c r="K187" s="132" t="str">
        <f>HYPERLINK("https://drive.google.com/drive/folders/0BwQ57SNHxB3BY3VvV0ZVcEQ3Z0k","4630")</f>
        <v>4630</v>
      </c>
      <c r="L187" s="125"/>
      <c r="M187" s="46"/>
      <c r="N187" s="126"/>
      <c r="O187" s="126"/>
      <c r="P187" s="126"/>
      <c r="Q187" s="126"/>
      <c r="R187" s="126"/>
      <c r="S187" s="126"/>
      <c r="T187" s="128">
        <v>15</v>
      </c>
      <c r="U187" s="128">
        <f t="shared" si="28"/>
        <v>2567</v>
      </c>
      <c r="V187" s="129" t="str">
        <f t="shared" si="27"/>
        <v>46</v>
      </c>
      <c r="W187" s="121">
        <f>COUNTIF('สำเนาของ 52-62 (สำหรับ จก.ตรวจเ'!$V$4:$V$286,V187)-1</f>
        <v>6</v>
      </c>
      <c r="X187" s="121"/>
      <c r="Y187" s="121"/>
      <c r="Z187" s="121"/>
      <c r="AA187" s="121"/>
    </row>
    <row r="188" spans="1:27" ht="18.75">
      <c r="A188" s="88"/>
      <c r="B188" s="121">
        <v>4630</v>
      </c>
      <c r="C188" s="121" t="s">
        <v>256</v>
      </c>
      <c r="D188" s="88" t="s">
        <v>962</v>
      </c>
      <c r="E188" s="121">
        <v>55</v>
      </c>
      <c r="F188" s="46" t="s">
        <v>963</v>
      </c>
      <c r="G188" s="26" t="s">
        <v>78</v>
      </c>
      <c r="H188" s="122">
        <v>250000</v>
      </c>
      <c r="I188" s="123"/>
      <c r="J188" s="130" t="str">
        <f>HYPERLINK("https://drive.google.com/open?id=0B2vBTVEfSzItOEFtbzRrVnp4V3c","4630")</f>
        <v>4630</v>
      </c>
      <c r="K188" s="132" t="str">
        <f>HYPERLINK("https://drive.google.com/drive/folders/0BwQ57SNHxB3BY3VvV0ZVcEQ3Z0k","4630")</f>
        <v>4630</v>
      </c>
      <c r="L188" s="125"/>
      <c r="M188" s="46"/>
      <c r="N188" s="126"/>
      <c r="O188" s="126"/>
      <c r="P188" s="126"/>
      <c r="Q188" s="126"/>
      <c r="R188" s="126"/>
      <c r="S188" s="126"/>
      <c r="T188" s="128">
        <v>15</v>
      </c>
      <c r="U188" s="128">
        <f t="shared" si="28"/>
        <v>2568</v>
      </c>
      <c r="V188" s="129" t="str">
        <f t="shared" si="27"/>
        <v>46</v>
      </c>
      <c r="W188" s="121">
        <f>COUNTIF('สำเนาของ 52-62 (สำหรับ จก.ตรวจเ'!$V$4:$V$286,V188)-1</f>
        <v>6</v>
      </c>
      <c r="X188" s="121"/>
      <c r="Y188" s="121"/>
      <c r="Z188" s="121"/>
      <c r="AA188" s="121"/>
    </row>
    <row r="189" spans="1:27" ht="18.75">
      <c r="A189" s="88"/>
      <c r="B189" s="121">
        <v>4630</v>
      </c>
      <c r="C189" s="121" t="s">
        <v>63</v>
      </c>
      <c r="D189" s="88" t="s">
        <v>964</v>
      </c>
      <c r="E189" s="121">
        <v>56</v>
      </c>
      <c r="F189" s="46" t="s">
        <v>965</v>
      </c>
      <c r="G189" s="26" t="s">
        <v>28</v>
      </c>
      <c r="H189" s="122"/>
      <c r="I189" s="123"/>
      <c r="J189" s="130" t="str">
        <f>HYPERLINK("https://drive.google.com/open?id=0B2rLR4BADrBtcWQ3dEdNMnpLbzg","4630")</f>
        <v>4630</v>
      </c>
      <c r="K189" s="133" t="str">
        <f>HYPERLINK("https://drive.google.com/drive/folders/0BwQ57SNHxB3Ba1B3bG9qYXRwdFU","4630")</f>
        <v>4630</v>
      </c>
      <c r="L189" s="134"/>
      <c r="M189" s="46"/>
      <c r="N189" s="126"/>
      <c r="O189" s="126"/>
      <c r="P189" s="126"/>
      <c r="Q189" s="126"/>
      <c r="R189" s="126"/>
      <c r="S189" s="126"/>
      <c r="T189" s="128">
        <v>15</v>
      </c>
      <c r="U189" s="128">
        <f t="shared" si="28"/>
        <v>2569</v>
      </c>
      <c r="V189" s="129" t="str">
        <f t="shared" si="27"/>
        <v>46</v>
      </c>
      <c r="W189" s="121">
        <f>COUNTIF($V$4:$V$286,V189)-1</f>
        <v>6</v>
      </c>
      <c r="X189" s="121"/>
      <c r="Y189" s="121"/>
      <c r="Z189" s="121"/>
      <c r="AA189" s="121"/>
    </row>
    <row r="190" spans="1:27" ht="18.75">
      <c r="A190" s="119"/>
      <c r="B190" s="118">
        <v>4900</v>
      </c>
      <c r="C190" s="119"/>
      <c r="D190" s="117" t="str">
        <f>"พัสดุ"&amp; VLOOKUP(V190,'เลขSpec.2 ตัวแรก'!$A$2:$B$100,2,FALSE)&amp; " จำนวน "&amp;W190&amp;" รายการ"</f>
        <v>พัสดุหมวด 49 บริภัณฑ์โรงงานซ่อมบำรุงและโรงซ่อม จำนวน 3 รายการ</v>
      </c>
      <c r="E190" s="117"/>
      <c r="F190" s="117"/>
      <c r="G190" s="118"/>
      <c r="H190" s="117"/>
      <c r="I190" s="117"/>
      <c r="J190" s="117"/>
      <c r="K190" s="117"/>
      <c r="L190" s="117"/>
      <c r="M190" s="119"/>
      <c r="N190" s="119"/>
      <c r="O190" s="119"/>
      <c r="P190" s="117"/>
      <c r="Q190" s="117"/>
      <c r="R190" s="117"/>
      <c r="S190" s="118"/>
      <c r="T190" s="117"/>
      <c r="U190" s="117"/>
      <c r="V190" s="117" t="str">
        <f t="shared" si="27"/>
        <v>49</v>
      </c>
      <c r="W190" s="117">
        <f>COUNTIF($V$2:$V$286,V190)-1</f>
        <v>3</v>
      </c>
      <c r="X190" s="117"/>
      <c r="Y190" s="24"/>
      <c r="Z190" s="24"/>
      <c r="AA190" s="24"/>
    </row>
    <row r="191" spans="1:27" ht="18.75">
      <c r="A191" s="88"/>
      <c r="B191" s="121">
        <v>4910</v>
      </c>
      <c r="C191" s="121" t="s">
        <v>157</v>
      </c>
      <c r="D191" s="88" t="s">
        <v>966</v>
      </c>
      <c r="E191" s="121">
        <v>53</v>
      </c>
      <c r="F191" s="46" t="s">
        <v>967</v>
      </c>
      <c r="G191" s="26" t="s">
        <v>78</v>
      </c>
      <c r="H191" s="122">
        <v>165000</v>
      </c>
      <c r="I191" s="123"/>
      <c r="J191" s="130" t="str">
        <f>HYPERLINK("https://drive.google.com/open?id=0B2rLR4BADrBtdkZvUHJqT3BxT2s","4910")</f>
        <v>4910</v>
      </c>
      <c r="K191" s="125"/>
      <c r="L191" s="125"/>
      <c r="M191" s="46"/>
      <c r="N191" s="126"/>
      <c r="O191" s="126"/>
      <c r="P191" s="126"/>
      <c r="Q191" s="126"/>
      <c r="R191" s="126"/>
      <c r="S191" s="126"/>
      <c r="T191" s="128">
        <v>15</v>
      </c>
      <c r="U191" s="128">
        <f>E191+T191-2+2500</f>
        <v>2566</v>
      </c>
      <c r="V191" s="129" t="str">
        <f t="shared" si="27"/>
        <v>49</v>
      </c>
      <c r="W191" s="121">
        <f>COUNTIF('สำเนาของ 52-62 (สำหรับ จก.ตรวจเ'!$V$4:$V$286,V191)-1</f>
        <v>3</v>
      </c>
      <c r="X191" s="121"/>
      <c r="Y191" s="121"/>
      <c r="Z191" s="121"/>
      <c r="AA191" s="121"/>
    </row>
    <row r="192" spans="1:27" ht="18.75">
      <c r="A192" s="88"/>
      <c r="B192" s="121">
        <v>4930</v>
      </c>
      <c r="C192" s="121" t="s">
        <v>157</v>
      </c>
      <c r="D192" s="88" t="s">
        <v>968</v>
      </c>
      <c r="E192" s="121">
        <v>53</v>
      </c>
      <c r="F192" s="46" t="s">
        <v>969</v>
      </c>
      <c r="G192" s="26" t="s">
        <v>78</v>
      </c>
      <c r="H192" s="122">
        <v>27000</v>
      </c>
      <c r="I192" s="123"/>
      <c r="J192" s="130" t="str">
        <f>HYPERLINK("https://drive.google.com/open?id=0B2rLR4BADrBtY3c5MGlDSlY0Yms","4930")</f>
        <v>4930</v>
      </c>
      <c r="K192" s="132" t="str">
        <f>HYPERLINK("https://drive.google.com/drive/folders/0BwQ57SNHxB3BbE5nR0JKR09SX0U","4930")</f>
        <v>4930</v>
      </c>
      <c r="L192" s="125"/>
      <c r="M192" s="46"/>
      <c r="N192" s="126"/>
      <c r="O192" s="126"/>
      <c r="P192" s="126"/>
      <c r="Q192" s="126"/>
      <c r="R192" s="126"/>
      <c r="S192" s="126"/>
      <c r="T192" s="128">
        <v>15</v>
      </c>
      <c r="U192" s="128">
        <f>E192+T192-2+2500</f>
        <v>2566</v>
      </c>
      <c r="V192" s="129" t="str">
        <f t="shared" si="27"/>
        <v>49</v>
      </c>
      <c r="W192" s="121">
        <f>COUNTIF('สำเนาของ 52-62 (สำหรับ จก.ตรวจเ'!$V$4:$V$286,V192)-1</f>
        <v>3</v>
      </c>
      <c r="X192" s="121"/>
      <c r="Y192" s="121"/>
      <c r="Z192" s="121"/>
      <c r="AA192" s="121"/>
    </row>
    <row r="193" spans="1:27" ht="18.75">
      <c r="A193" s="88"/>
      <c r="B193" s="121">
        <v>4930</v>
      </c>
      <c r="C193" s="121" t="s">
        <v>157</v>
      </c>
      <c r="D193" s="88" t="s">
        <v>970</v>
      </c>
      <c r="E193" s="121">
        <v>53</v>
      </c>
      <c r="F193" s="46" t="s">
        <v>971</v>
      </c>
      <c r="G193" s="26" t="s">
        <v>78</v>
      </c>
      <c r="H193" s="122">
        <v>25000</v>
      </c>
      <c r="I193" s="123"/>
      <c r="J193" s="130" t="str">
        <f>HYPERLINK("https://drive.google.com/open?id=0B2rLR4BADrBtT2hWemF3Tl9IYW8","4930")</f>
        <v>4930</v>
      </c>
      <c r="K193" s="132" t="str">
        <f>HYPERLINK("https://drive.google.com/drive/folders/0BwQ57SNHxB3BbE5nR0JKR09SX0U","4930")</f>
        <v>4930</v>
      </c>
      <c r="L193" s="125"/>
      <c r="M193" s="46"/>
      <c r="N193" s="126"/>
      <c r="O193" s="126"/>
      <c r="P193" s="126"/>
      <c r="Q193" s="126"/>
      <c r="R193" s="126"/>
      <c r="S193" s="126"/>
      <c r="T193" s="128">
        <v>15</v>
      </c>
      <c r="U193" s="128">
        <f>E193+T193-2+2500</f>
        <v>2566</v>
      </c>
      <c r="V193" s="129" t="str">
        <f t="shared" si="27"/>
        <v>49</v>
      </c>
      <c r="W193" s="121">
        <f>COUNTIF('สำเนาของ 52-62 (สำหรับ จก.ตรวจเ'!$V$4:$V$286,V193)-1</f>
        <v>3</v>
      </c>
      <c r="X193" s="121"/>
      <c r="Y193" s="121"/>
      <c r="Z193" s="121"/>
      <c r="AA193" s="121"/>
    </row>
    <row r="194" spans="1:27" ht="18.75">
      <c r="A194" s="119"/>
      <c r="B194" s="118">
        <v>5100</v>
      </c>
      <c r="C194" s="117"/>
      <c r="D194" s="117" t="str">
        <f>"พัสดุ"&amp; VLOOKUP(V194,'เลขSpec.2 ตัวแรก'!$A$2:$B$100,2,FALSE)&amp; " จำนวน "&amp;W194&amp;" รายการ"</f>
        <v>พัสดุหมวด 51 เครื่องมือชนิดถือ จำนวน 26 รายการ</v>
      </c>
      <c r="E194" s="117"/>
      <c r="F194" s="118"/>
      <c r="G194" s="117" t="s">
        <v>78</v>
      </c>
      <c r="H194" s="117" t="s">
        <v>78</v>
      </c>
      <c r="I194" s="117" t="s">
        <v>78</v>
      </c>
      <c r="J194" s="117"/>
      <c r="K194" s="117"/>
      <c r="L194" s="119"/>
      <c r="M194" s="119"/>
      <c r="N194" s="119"/>
      <c r="O194" s="117"/>
      <c r="P194" s="117"/>
      <c r="Q194" s="117"/>
      <c r="R194" s="118"/>
      <c r="S194" s="117"/>
      <c r="T194" s="117"/>
      <c r="U194" s="117"/>
      <c r="V194" s="117" t="str">
        <f t="shared" si="27"/>
        <v>51</v>
      </c>
      <c r="W194" s="117">
        <f>COUNTIF($V$2:$V$286,V194)-1</f>
        <v>26</v>
      </c>
      <c r="X194" s="119"/>
      <c r="Y194" s="24"/>
      <c r="Z194" s="24"/>
      <c r="AA194" s="24"/>
    </row>
    <row r="195" spans="1:27" ht="18.75">
      <c r="A195" s="88"/>
      <c r="B195" s="121">
        <v>5110</v>
      </c>
      <c r="C195" s="121" t="s">
        <v>37</v>
      </c>
      <c r="D195" s="88" t="s">
        <v>972</v>
      </c>
      <c r="E195" s="121">
        <v>53</v>
      </c>
      <c r="F195" s="46" t="s">
        <v>973</v>
      </c>
      <c r="G195" s="26" t="s">
        <v>78</v>
      </c>
      <c r="H195" s="122">
        <v>80000</v>
      </c>
      <c r="I195" s="123"/>
      <c r="J195" s="130" t="str">
        <f>HYPERLINK("https://drive.google.com/open?id=0B2vBTVEfSzItTkxxWkNkU1ZCMTA","5110")</f>
        <v>5110</v>
      </c>
      <c r="K195" s="132" t="str">
        <f>HYPERLINK("https://drive.google.com/drive/folders/0BwQ57SNHxB3BVjVRSG53UlBjWjA","5110")</f>
        <v>5110</v>
      </c>
      <c r="L195" s="125"/>
      <c r="M195" s="46"/>
      <c r="N195" s="126"/>
      <c r="O195" s="126"/>
      <c r="P195" s="126"/>
      <c r="Q195" s="126"/>
      <c r="R195" s="126"/>
      <c r="S195" s="126"/>
      <c r="T195" s="128">
        <v>10</v>
      </c>
      <c r="U195" s="128">
        <f t="shared" ref="U195:U204" si="29">E195+T195-2+2500</f>
        <v>2561</v>
      </c>
      <c r="V195" s="129" t="str">
        <f t="shared" si="27"/>
        <v>51</v>
      </c>
      <c r="W195" s="121">
        <f>COUNTIF('สำเนาของ 52-62 (สำหรับ จก.ตรวจเ'!$V$4:$V$286,V195)-1</f>
        <v>26</v>
      </c>
      <c r="X195" s="121"/>
      <c r="Y195" s="121"/>
      <c r="Z195" s="121"/>
      <c r="AA195" s="121"/>
    </row>
    <row r="196" spans="1:27" ht="18.75">
      <c r="A196" s="88"/>
      <c r="B196" s="121">
        <v>5120</v>
      </c>
      <c r="C196" s="121" t="s">
        <v>157</v>
      </c>
      <c r="D196" s="88" t="s">
        <v>974</v>
      </c>
      <c r="E196" s="121">
        <v>52</v>
      </c>
      <c r="F196" s="46" t="s">
        <v>975</v>
      </c>
      <c r="G196" s="26" t="s">
        <v>976</v>
      </c>
      <c r="H196" s="122">
        <v>15000</v>
      </c>
      <c r="I196" s="123"/>
      <c r="J196" s="130" t="str">
        <f>HYPERLINK("https://drive.google.com/open?id=0B2rLR4BADrBtcWVwdmdiajFZY00","5120")</f>
        <v>5120</v>
      </c>
      <c r="K196" s="132" t="str">
        <f t="shared" ref="K196:K203" si="30">HYPERLINK("https://drive.google.com/drive/folders/0BwQ57SNHxB3BZEl4TXJrMnlaR1E","5120")</f>
        <v>5120</v>
      </c>
      <c r="L196" s="125"/>
      <c r="M196" s="46"/>
      <c r="N196" s="126"/>
      <c r="O196" s="126"/>
      <c r="P196" s="126"/>
      <c r="Q196" s="126"/>
      <c r="R196" s="126"/>
      <c r="S196" s="126"/>
      <c r="T196" s="128">
        <v>10</v>
      </c>
      <c r="U196" s="128">
        <f t="shared" si="29"/>
        <v>2560</v>
      </c>
      <c r="V196" s="129" t="str">
        <f t="shared" si="27"/>
        <v>51</v>
      </c>
      <c r="W196" s="121">
        <f>COUNTIF('สำเนาของ 52-62 (สำหรับ จก.ตรวจเ'!$V$4:$V$286,V196)-1</f>
        <v>26</v>
      </c>
      <c r="X196" s="121"/>
      <c r="Y196" s="121"/>
      <c r="Z196" s="121"/>
      <c r="AA196" s="121"/>
    </row>
    <row r="197" spans="1:27" ht="18.75">
      <c r="A197" s="88"/>
      <c r="B197" s="121">
        <v>5120</v>
      </c>
      <c r="C197" s="121" t="s">
        <v>37</v>
      </c>
      <c r="D197" s="88" t="s">
        <v>977</v>
      </c>
      <c r="E197" s="121">
        <v>55</v>
      </c>
      <c r="F197" s="46" t="s">
        <v>978</v>
      </c>
      <c r="G197" s="26" t="s">
        <v>78</v>
      </c>
      <c r="H197" s="122"/>
      <c r="I197" s="123"/>
      <c r="J197" s="130" t="str">
        <f>HYPERLINK("https://drive.google.com/open?id=0B2rLR4BADrBtZHdUTGx0cEdLeEk","5120")</f>
        <v>5120</v>
      </c>
      <c r="K197" s="132" t="str">
        <f t="shared" si="30"/>
        <v>5120</v>
      </c>
      <c r="L197" s="125"/>
      <c r="M197" s="150"/>
      <c r="N197" s="126"/>
      <c r="O197" s="126"/>
      <c r="P197" s="126"/>
      <c r="Q197" s="126"/>
      <c r="R197" s="126"/>
      <c r="S197" s="126"/>
      <c r="T197" s="128">
        <v>10</v>
      </c>
      <c r="U197" s="128">
        <f t="shared" si="29"/>
        <v>2563</v>
      </c>
      <c r="V197" s="129" t="str">
        <f t="shared" si="27"/>
        <v>51</v>
      </c>
      <c r="W197" s="121">
        <f>COUNTIF('สำเนาของ 52-62 (สำหรับ จก.ตรวจเ'!$V$4:$V$286,V197)-1</f>
        <v>26</v>
      </c>
      <c r="X197" s="121"/>
      <c r="Y197" s="121"/>
      <c r="Z197" s="121"/>
      <c r="AA197" s="121"/>
    </row>
    <row r="198" spans="1:27" ht="18.75">
      <c r="A198" s="88"/>
      <c r="B198" s="121">
        <v>5120</v>
      </c>
      <c r="C198" s="121" t="s">
        <v>157</v>
      </c>
      <c r="D198" s="88" t="s">
        <v>979</v>
      </c>
      <c r="E198" s="121">
        <v>52</v>
      </c>
      <c r="F198" s="46" t="s">
        <v>980</v>
      </c>
      <c r="G198" s="26" t="s">
        <v>48</v>
      </c>
      <c r="H198" s="122">
        <v>6500</v>
      </c>
      <c r="I198" s="123"/>
      <c r="J198" s="130" t="str">
        <f>HYPERLINK("https://drive.google.com/open?id=0B2rLR4BADrBteFN0MXZEQ0N4a1U","5120")</f>
        <v>5120</v>
      </c>
      <c r="K198" s="132" t="str">
        <f t="shared" si="30"/>
        <v>5120</v>
      </c>
      <c r="L198" s="125"/>
      <c r="M198" s="46"/>
      <c r="N198" s="126"/>
      <c r="O198" s="126"/>
      <c r="P198" s="126"/>
      <c r="Q198" s="126"/>
      <c r="R198" s="126"/>
      <c r="S198" s="126"/>
      <c r="T198" s="128">
        <v>10</v>
      </c>
      <c r="U198" s="128">
        <f t="shared" si="29"/>
        <v>2560</v>
      </c>
      <c r="V198" s="129" t="str">
        <f t="shared" si="27"/>
        <v>51</v>
      </c>
      <c r="W198" s="121">
        <f t="shared" ref="W198:W209" si="31">COUNTIF($V$4:$V$286,V198)-1</f>
        <v>26</v>
      </c>
      <c r="X198" s="121"/>
      <c r="Y198" s="121"/>
      <c r="Z198" s="121"/>
      <c r="AA198" s="121"/>
    </row>
    <row r="199" spans="1:27" ht="18.75">
      <c r="A199" s="88"/>
      <c r="B199" s="121">
        <v>5120</v>
      </c>
      <c r="C199" s="121" t="s">
        <v>157</v>
      </c>
      <c r="D199" s="88" t="s">
        <v>981</v>
      </c>
      <c r="E199" s="121">
        <v>54</v>
      </c>
      <c r="F199" s="46" t="s">
        <v>982</v>
      </c>
      <c r="G199" s="26" t="s">
        <v>48</v>
      </c>
      <c r="H199" s="122">
        <v>7500</v>
      </c>
      <c r="I199" s="123"/>
      <c r="J199" s="130" t="str">
        <f>HYPERLINK("https://drive.google.com/open?id=0B2rLR4BADrBtcFZyQlFSc2ZORjg","5120")</f>
        <v>5120</v>
      </c>
      <c r="K199" s="132" t="str">
        <f t="shared" si="30"/>
        <v>5120</v>
      </c>
      <c r="L199" s="125"/>
      <c r="M199" s="93"/>
      <c r="N199" s="126"/>
      <c r="O199" s="126"/>
      <c r="P199" s="126"/>
      <c r="Q199" s="126"/>
      <c r="R199" s="126"/>
      <c r="S199" s="126"/>
      <c r="T199" s="128">
        <v>10</v>
      </c>
      <c r="U199" s="128">
        <f t="shared" si="29"/>
        <v>2562</v>
      </c>
      <c r="V199" s="129" t="str">
        <f t="shared" si="27"/>
        <v>51</v>
      </c>
      <c r="W199" s="121">
        <f t="shared" si="31"/>
        <v>26</v>
      </c>
      <c r="X199" s="121"/>
      <c r="Y199" s="121"/>
      <c r="Z199" s="121"/>
      <c r="AA199" s="121"/>
    </row>
    <row r="200" spans="1:27" ht="18.75">
      <c r="A200" s="88"/>
      <c r="B200" s="121">
        <v>5120</v>
      </c>
      <c r="C200" s="121" t="s">
        <v>157</v>
      </c>
      <c r="D200" s="88" t="s">
        <v>983</v>
      </c>
      <c r="E200" s="121">
        <v>53</v>
      </c>
      <c r="F200" s="46" t="s">
        <v>984</v>
      </c>
      <c r="G200" s="26" t="s">
        <v>48</v>
      </c>
      <c r="H200" s="122">
        <v>12500</v>
      </c>
      <c r="I200" s="123"/>
      <c r="J200" s="130" t="str">
        <f>HYPERLINK("https://drive.google.com/open?id=0B2vBTVEfSzItX1BoaXdpOU9Na0E","5120")</f>
        <v>5120</v>
      </c>
      <c r="K200" s="132" t="str">
        <f t="shared" si="30"/>
        <v>5120</v>
      </c>
      <c r="L200" s="125"/>
      <c r="M200" s="46"/>
      <c r="N200" s="126"/>
      <c r="O200" s="126"/>
      <c r="P200" s="126"/>
      <c r="Q200" s="126"/>
      <c r="R200" s="126"/>
      <c r="S200" s="126"/>
      <c r="T200" s="128">
        <v>10</v>
      </c>
      <c r="U200" s="128">
        <f t="shared" si="29"/>
        <v>2561</v>
      </c>
      <c r="V200" s="129" t="str">
        <f t="shared" si="27"/>
        <v>51</v>
      </c>
      <c r="W200" s="121">
        <f t="shared" si="31"/>
        <v>26</v>
      </c>
      <c r="X200" s="121"/>
      <c r="Y200" s="121"/>
      <c r="Z200" s="121"/>
      <c r="AA200" s="121"/>
    </row>
    <row r="201" spans="1:27" ht="18.75">
      <c r="A201" s="88"/>
      <c r="B201" s="121">
        <v>5120</v>
      </c>
      <c r="C201" s="121" t="s">
        <v>157</v>
      </c>
      <c r="D201" s="88" t="s">
        <v>985</v>
      </c>
      <c r="E201" s="121">
        <v>54</v>
      </c>
      <c r="F201" s="46" t="s">
        <v>986</v>
      </c>
      <c r="G201" s="26" t="s">
        <v>48</v>
      </c>
      <c r="H201" s="122">
        <v>15000</v>
      </c>
      <c r="I201" s="123"/>
      <c r="J201" s="130" t="str">
        <f>HYPERLINK("https://drive.google.com/open?id=0B2rLR4BADrBtdVAyZmUtTVNRaVk","5120")</f>
        <v>5120</v>
      </c>
      <c r="K201" s="132" t="str">
        <f t="shared" si="30"/>
        <v>5120</v>
      </c>
      <c r="L201" s="125"/>
      <c r="M201" s="46"/>
      <c r="N201" s="126"/>
      <c r="O201" s="126"/>
      <c r="P201" s="126"/>
      <c r="Q201" s="126"/>
      <c r="R201" s="126"/>
      <c r="S201" s="126"/>
      <c r="T201" s="128">
        <v>10</v>
      </c>
      <c r="U201" s="128">
        <f t="shared" si="29"/>
        <v>2562</v>
      </c>
      <c r="V201" s="129" t="str">
        <f t="shared" si="27"/>
        <v>51</v>
      </c>
      <c r="W201" s="121">
        <f t="shared" si="31"/>
        <v>26</v>
      </c>
      <c r="X201" s="121"/>
      <c r="Y201" s="121"/>
      <c r="Z201" s="121"/>
      <c r="AA201" s="121"/>
    </row>
    <row r="202" spans="1:27" ht="18.75">
      <c r="A202" s="88"/>
      <c r="B202" s="121">
        <v>5120</v>
      </c>
      <c r="C202" s="121" t="s">
        <v>157</v>
      </c>
      <c r="D202" s="88" t="s">
        <v>987</v>
      </c>
      <c r="E202" s="121">
        <v>54</v>
      </c>
      <c r="F202" s="46" t="s">
        <v>989</v>
      </c>
      <c r="G202" s="26" t="s">
        <v>48</v>
      </c>
      <c r="H202" s="122">
        <v>65000</v>
      </c>
      <c r="I202" s="123"/>
      <c r="J202" s="130" t="str">
        <f>HYPERLINK("https://drive.google.com/open?id=0B2rLR4BADrBtX2t4UnZDNF94bU0","5120")</f>
        <v>5120</v>
      </c>
      <c r="K202" s="132" t="str">
        <f t="shared" si="30"/>
        <v>5120</v>
      </c>
      <c r="L202" s="125"/>
      <c r="M202" s="46"/>
      <c r="N202" s="126"/>
      <c r="O202" s="126"/>
      <c r="P202" s="126"/>
      <c r="Q202" s="126"/>
      <c r="R202" s="126"/>
      <c r="S202" s="126"/>
      <c r="T202" s="128">
        <v>10</v>
      </c>
      <c r="U202" s="128">
        <f t="shared" si="29"/>
        <v>2562</v>
      </c>
      <c r="V202" s="129" t="str">
        <f t="shared" si="27"/>
        <v>51</v>
      </c>
      <c r="W202" s="121">
        <f t="shared" si="31"/>
        <v>26</v>
      </c>
      <c r="X202" s="121"/>
      <c r="Y202" s="121"/>
      <c r="Z202" s="121"/>
      <c r="AA202" s="121"/>
    </row>
    <row r="203" spans="1:27" ht="18.75">
      <c r="A203" s="88"/>
      <c r="B203" s="121">
        <v>5120</v>
      </c>
      <c r="C203" s="121" t="s">
        <v>157</v>
      </c>
      <c r="D203" s="88" t="s">
        <v>990</v>
      </c>
      <c r="E203" s="121">
        <v>54</v>
      </c>
      <c r="F203" s="46" t="s">
        <v>991</v>
      </c>
      <c r="G203" s="26" t="s">
        <v>48</v>
      </c>
      <c r="H203" s="122">
        <v>28000</v>
      </c>
      <c r="I203" s="123"/>
      <c r="J203" s="130" t="str">
        <f>HYPERLINK("https://drive.google.com/open?id=0B2rLR4BADrBtOFdSOVFHanh0UnM","5120")</f>
        <v>5120</v>
      </c>
      <c r="K203" s="132" t="str">
        <f t="shared" si="30"/>
        <v>5120</v>
      </c>
      <c r="L203" s="125"/>
      <c r="M203" s="46"/>
      <c r="N203" s="126"/>
      <c r="O203" s="126"/>
      <c r="P203" s="126"/>
      <c r="Q203" s="126"/>
      <c r="R203" s="126"/>
      <c r="S203" s="126"/>
      <c r="T203" s="128">
        <v>10</v>
      </c>
      <c r="U203" s="128">
        <f t="shared" si="29"/>
        <v>2562</v>
      </c>
      <c r="V203" s="129" t="str">
        <f t="shared" si="27"/>
        <v>51</v>
      </c>
      <c r="W203" s="121">
        <f t="shared" si="31"/>
        <v>26</v>
      </c>
      <c r="X203" s="121"/>
      <c r="Y203" s="121"/>
      <c r="Z203" s="121"/>
      <c r="AA203" s="121"/>
    </row>
    <row r="204" spans="1:27" ht="18.75">
      <c r="A204" s="88"/>
      <c r="B204" s="121">
        <v>5130</v>
      </c>
      <c r="C204" s="121" t="s">
        <v>191</v>
      </c>
      <c r="D204" s="88" t="s">
        <v>992</v>
      </c>
      <c r="E204" s="121">
        <v>59</v>
      </c>
      <c r="F204" s="46" t="s">
        <v>993</v>
      </c>
      <c r="G204" s="26" t="s">
        <v>78</v>
      </c>
      <c r="H204" s="122">
        <v>15000</v>
      </c>
      <c r="I204" s="123"/>
      <c r="J204" s="130" t="str">
        <f>HYPERLINK("https://drive.google.com/open?id=0B2vBTVEfSzItaEdBQ2d1d2NQWFU","5130")</f>
        <v>5130</v>
      </c>
      <c r="K204" s="125"/>
      <c r="L204" s="125"/>
      <c r="M204" s="46"/>
      <c r="N204" s="126"/>
      <c r="O204" s="126"/>
      <c r="P204" s="126"/>
      <c r="Q204" s="126"/>
      <c r="R204" s="126"/>
      <c r="S204" s="126"/>
      <c r="T204" s="128"/>
      <c r="U204" s="128">
        <f t="shared" si="29"/>
        <v>2557</v>
      </c>
      <c r="V204" s="129" t="str">
        <f t="shared" si="27"/>
        <v>51</v>
      </c>
      <c r="W204" s="121">
        <f t="shared" si="31"/>
        <v>26</v>
      </c>
      <c r="X204" s="121"/>
      <c r="Y204" s="121"/>
      <c r="Z204" s="121"/>
      <c r="AA204" s="121"/>
    </row>
    <row r="205" spans="1:27" ht="18.75">
      <c r="A205" s="88"/>
      <c r="B205" s="121">
        <v>5130</v>
      </c>
      <c r="C205" s="121" t="s">
        <v>191</v>
      </c>
      <c r="D205" s="88" t="s">
        <v>995</v>
      </c>
      <c r="E205" s="121">
        <v>59</v>
      </c>
      <c r="F205" s="46" t="s">
        <v>997</v>
      </c>
      <c r="G205" s="26" t="s">
        <v>78</v>
      </c>
      <c r="H205" s="122">
        <v>19500</v>
      </c>
      <c r="I205" s="123"/>
      <c r="J205" s="130" t="str">
        <f>HYPERLINK("https://drive.google.com/open?id=1zWjvHOrkB3OLvhDQtereo5zV7Rg-beSU","5130")</f>
        <v>5130</v>
      </c>
      <c r="K205" s="125"/>
      <c r="L205" s="125"/>
      <c r="M205" s="46"/>
      <c r="N205" s="126"/>
      <c r="O205" s="126"/>
      <c r="P205" s="126"/>
      <c r="Q205" s="126"/>
      <c r="R205" s="126"/>
      <c r="S205" s="126"/>
      <c r="T205" s="128"/>
      <c r="U205" s="128"/>
      <c r="V205" s="129" t="str">
        <f t="shared" si="27"/>
        <v>51</v>
      </c>
      <c r="W205" s="121">
        <f t="shared" si="31"/>
        <v>26</v>
      </c>
      <c r="X205" s="121"/>
      <c r="Y205" s="121"/>
      <c r="Z205" s="121"/>
      <c r="AA205" s="121"/>
    </row>
    <row r="206" spans="1:27" ht="32.25" customHeight="1">
      <c r="A206" s="88"/>
      <c r="B206" s="121">
        <v>5130</v>
      </c>
      <c r="C206" s="121" t="s">
        <v>191</v>
      </c>
      <c r="D206" s="88" t="s">
        <v>998</v>
      </c>
      <c r="E206" s="121">
        <v>55</v>
      </c>
      <c r="F206" s="46" t="s">
        <v>999</v>
      </c>
      <c r="G206" s="26" t="s">
        <v>78</v>
      </c>
      <c r="H206" s="122">
        <v>13700</v>
      </c>
      <c r="I206" s="123"/>
      <c r="J206" s="130" t="str">
        <f>HYPERLINK("https://drive.google.com/open?id=0B2rLR4BADrBtRlN6ZG1pTnZZOU0","5130")</f>
        <v>5130</v>
      </c>
      <c r="K206" s="132" t="str">
        <f t="shared" ref="K206:K213" si="32">HYPERLINK("https://drive.google.com/drive/folders/0BwN2QqBc2z4QflhnNklpTEZqRnBLWXVqR2hINEE3NUEyMklIcTFRSzkyT1ZJR1ZhT1RZcW8","5130")</f>
        <v>5130</v>
      </c>
      <c r="L206" s="125"/>
      <c r="M206" s="46"/>
      <c r="N206" s="126"/>
      <c r="O206" s="126"/>
      <c r="P206" s="126"/>
      <c r="Q206" s="126"/>
      <c r="R206" s="126"/>
      <c r="S206" s="126"/>
      <c r="T206" s="128">
        <v>10</v>
      </c>
      <c r="U206" s="128">
        <f t="shared" ref="U206:U220" si="33">E206+T206-2+2500</f>
        <v>2563</v>
      </c>
      <c r="V206" s="129" t="str">
        <f t="shared" si="27"/>
        <v>51</v>
      </c>
      <c r="W206" s="121">
        <f t="shared" si="31"/>
        <v>26</v>
      </c>
      <c r="X206" s="121"/>
      <c r="Y206" s="121"/>
      <c r="Z206" s="121"/>
      <c r="AA206" s="121"/>
    </row>
    <row r="207" spans="1:27" ht="18.75">
      <c r="A207" s="88"/>
      <c r="B207" s="121">
        <v>5130</v>
      </c>
      <c r="C207" s="121" t="s">
        <v>157</v>
      </c>
      <c r="D207" s="88" t="s">
        <v>1000</v>
      </c>
      <c r="E207" s="121">
        <v>54</v>
      </c>
      <c r="F207" s="46" t="s">
        <v>1001</v>
      </c>
      <c r="G207" s="26" t="s">
        <v>78</v>
      </c>
      <c r="H207" s="122">
        <v>5500</v>
      </c>
      <c r="I207" s="123"/>
      <c r="J207" s="130" t="str">
        <f>HYPERLINK("https://drive.google.com/open?id=0B2rLR4BADrBtOFlaMUpHeFY0ZGc","5130")</f>
        <v>5130</v>
      </c>
      <c r="K207" s="132" t="str">
        <f t="shared" si="32"/>
        <v>5130</v>
      </c>
      <c r="L207" s="125"/>
      <c r="M207" s="46"/>
      <c r="N207" s="126"/>
      <c r="O207" s="126"/>
      <c r="P207" s="126"/>
      <c r="Q207" s="126"/>
      <c r="R207" s="126"/>
      <c r="S207" s="126"/>
      <c r="T207" s="128">
        <v>10</v>
      </c>
      <c r="U207" s="128">
        <f t="shared" si="33"/>
        <v>2562</v>
      </c>
      <c r="V207" s="129" t="str">
        <f t="shared" si="27"/>
        <v>51</v>
      </c>
      <c r="W207" s="121">
        <f t="shared" si="31"/>
        <v>26</v>
      </c>
      <c r="X207" s="121"/>
      <c r="Y207" s="121"/>
      <c r="Z207" s="121"/>
      <c r="AA207" s="121"/>
    </row>
    <row r="208" spans="1:27" ht="18.75">
      <c r="A208" s="88"/>
      <c r="B208" s="121">
        <v>5130</v>
      </c>
      <c r="C208" s="121" t="s">
        <v>191</v>
      </c>
      <c r="D208" s="88" t="s">
        <v>1002</v>
      </c>
      <c r="E208" s="121">
        <v>58</v>
      </c>
      <c r="F208" s="46" t="s">
        <v>1003</v>
      </c>
      <c r="G208" s="26" t="s">
        <v>78</v>
      </c>
      <c r="H208" s="122">
        <v>6300</v>
      </c>
      <c r="I208" s="123"/>
      <c r="J208" s="130" t="str">
        <f>HYPERLINK("https://drive.google.com/open?id=0B2vBTVEfSzItZjJ6UTdfbGMyb0k","5130")</f>
        <v>5130</v>
      </c>
      <c r="K208" s="132" t="str">
        <f t="shared" si="32"/>
        <v>5130</v>
      </c>
      <c r="L208" s="125"/>
      <c r="M208" s="46"/>
      <c r="N208" s="126"/>
      <c r="O208" s="126"/>
      <c r="P208" s="126"/>
      <c r="Q208" s="126"/>
      <c r="R208" s="126"/>
      <c r="S208" s="126"/>
      <c r="T208" s="128"/>
      <c r="U208" s="128">
        <f t="shared" si="33"/>
        <v>2556</v>
      </c>
      <c r="V208" s="129" t="str">
        <f t="shared" si="27"/>
        <v>51</v>
      </c>
      <c r="W208" s="121">
        <f t="shared" si="31"/>
        <v>26</v>
      </c>
      <c r="X208" s="121"/>
      <c r="Y208" s="121"/>
      <c r="Z208" s="121"/>
      <c r="AA208" s="121"/>
    </row>
    <row r="209" spans="1:27" ht="18.75">
      <c r="A209" s="88"/>
      <c r="B209" s="121">
        <v>5130</v>
      </c>
      <c r="C209" s="121" t="s">
        <v>191</v>
      </c>
      <c r="D209" s="88" t="s">
        <v>1004</v>
      </c>
      <c r="E209" s="121">
        <v>55</v>
      </c>
      <c r="F209" s="46" t="s">
        <v>1005</v>
      </c>
      <c r="G209" s="26" t="s">
        <v>78</v>
      </c>
      <c r="H209" s="122">
        <v>21200</v>
      </c>
      <c r="I209" s="123"/>
      <c r="J209" s="130" t="str">
        <f>HYPERLINK("https://drive.google.com/open?id=0B2rLR4BADrBtbFZBT1Y5YUFLNTA","5130")</f>
        <v>5130</v>
      </c>
      <c r="K209" s="132" t="str">
        <f t="shared" si="32"/>
        <v>5130</v>
      </c>
      <c r="L209" s="125"/>
      <c r="M209" s="46"/>
      <c r="N209" s="126"/>
      <c r="O209" s="126"/>
      <c r="P209" s="126"/>
      <c r="Q209" s="126"/>
      <c r="R209" s="126"/>
      <c r="S209" s="126"/>
      <c r="T209" s="128">
        <v>10</v>
      </c>
      <c r="U209" s="128">
        <f t="shared" si="33"/>
        <v>2563</v>
      </c>
      <c r="V209" s="129" t="str">
        <f t="shared" si="27"/>
        <v>51</v>
      </c>
      <c r="W209" s="121">
        <f t="shared" si="31"/>
        <v>26</v>
      </c>
      <c r="X209" s="121"/>
      <c r="Y209" s="121"/>
      <c r="Z209" s="121"/>
      <c r="AA209" s="121"/>
    </row>
    <row r="210" spans="1:27" ht="18.75">
      <c r="A210" s="88"/>
      <c r="B210" s="121">
        <v>5130</v>
      </c>
      <c r="C210" s="121" t="s">
        <v>191</v>
      </c>
      <c r="D210" s="88" t="s">
        <v>1006</v>
      </c>
      <c r="E210" s="121">
        <v>57</v>
      </c>
      <c r="F210" s="46" t="s">
        <v>1007</v>
      </c>
      <c r="G210" s="26" t="s">
        <v>78</v>
      </c>
      <c r="H210" s="122">
        <v>17500</v>
      </c>
      <c r="I210" s="123"/>
      <c r="J210" s="130" t="str">
        <f>HYPERLINK("https://drive.google.com/open?id=0B2rLR4BADrBtZGl3RGRBVkxmY0k","5130")</f>
        <v>5130</v>
      </c>
      <c r="K210" s="132" t="str">
        <f t="shared" si="32"/>
        <v>5130</v>
      </c>
      <c r="L210" s="125"/>
      <c r="M210" s="46"/>
      <c r="N210" s="126"/>
      <c r="O210" s="126"/>
      <c r="P210" s="126"/>
      <c r="Q210" s="126"/>
      <c r="R210" s="126"/>
      <c r="S210" s="126"/>
      <c r="T210" s="128">
        <v>10</v>
      </c>
      <c r="U210" s="128">
        <f t="shared" si="33"/>
        <v>2565</v>
      </c>
      <c r="V210" s="129" t="str">
        <f t="shared" si="27"/>
        <v>51</v>
      </c>
      <c r="W210" s="121">
        <f>COUNTIF('สำเนาของ 52-62 (สำหรับ จก.ตรวจเ'!$V$4:$V$286,V210)-1</f>
        <v>26</v>
      </c>
      <c r="X210" s="121"/>
      <c r="Y210" s="121"/>
      <c r="Z210" s="121"/>
      <c r="AA210" s="121"/>
    </row>
    <row r="211" spans="1:27" ht="18.75">
      <c r="A211" s="88"/>
      <c r="B211" s="121">
        <v>5130</v>
      </c>
      <c r="C211" s="121" t="s">
        <v>191</v>
      </c>
      <c r="D211" s="88" t="s">
        <v>1008</v>
      </c>
      <c r="E211" s="121">
        <v>55</v>
      </c>
      <c r="F211" s="46" t="s">
        <v>1009</v>
      </c>
      <c r="G211" s="26" t="s">
        <v>78</v>
      </c>
      <c r="H211" s="122">
        <v>4500</v>
      </c>
      <c r="I211" s="123"/>
      <c r="J211" s="130" t="str">
        <f>HYPERLINK("https://drive.google.com/open?id=0B2rLR4BADrBtNmUyN0dDUWR0SEU","5130")</f>
        <v>5130</v>
      </c>
      <c r="K211" s="132" t="str">
        <f t="shared" si="32"/>
        <v>5130</v>
      </c>
      <c r="L211" s="125"/>
      <c r="M211" s="46"/>
      <c r="N211" s="126"/>
      <c r="O211" s="126"/>
      <c r="P211" s="126"/>
      <c r="Q211" s="126"/>
      <c r="R211" s="126"/>
      <c r="S211" s="126"/>
      <c r="T211" s="128">
        <v>10</v>
      </c>
      <c r="U211" s="128">
        <f t="shared" si="33"/>
        <v>2563</v>
      </c>
      <c r="V211" s="129" t="str">
        <f t="shared" si="27"/>
        <v>51</v>
      </c>
      <c r="W211" s="121">
        <f>COUNTIF('สำเนาของ 52-62 (สำหรับ จก.ตรวจเ'!$V$4:$V$286,V211)-1</f>
        <v>26</v>
      </c>
      <c r="X211" s="121"/>
      <c r="Y211" s="121"/>
      <c r="Z211" s="121"/>
      <c r="AA211" s="121"/>
    </row>
    <row r="212" spans="1:27" ht="18.75">
      <c r="A212" s="88"/>
      <c r="B212" s="121">
        <v>5130</v>
      </c>
      <c r="C212" s="121" t="s">
        <v>256</v>
      </c>
      <c r="D212" s="88" t="s">
        <v>1010</v>
      </c>
      <c r="E212" s="121">
        <v>53</v>
      </c>
      <c r="F212" s="46" t="s">
        <v>1011</v>
      </c>
      <c r="G212" s="26" t="s">
        <v>78</v>
      </c>
      <c r="H212" s="122">
        <v>9000</v>
      </c>
      <c r="I212" s="123"/>
      <c r="J212" s="130" t="str">
        <f>HYPERLINK("https://drive.google.com/open?id=0B2vBTVEfSzItZVdEV0dUYTR4czA","5130")</f>
        <v>5130</v>
      </c>
      <c r="K212" s="132" t="str">
        <f t="shared" si="32"/>
        <v>5130</v>
      </c>
      <c r="L212" s="125"/>
      <c r="M212" s="46"/>
      <c r="N212" s="126"/>
      <c r="O212" s="126"/>
      <c r="P212" s="126"/>
      <c r="Q212" s="126"/>
      <c r="R212" s="126"/>
      <c r="S212" s="126"/>
      <c r="T212" s="128">
        <v>10</v>
      </c>
      <c r="U212" s="128">
        <f t="shared" si="33"/>
        <v>2561</v>
      </c>
      <c r="V212" s="129" t="str">
        <f t="shared" si="27"/>
        <v>51</v>
      </c>
      <c r="W212" s="121">
        <f t="shared" ref="W212:W219" si="34">COUNTIF($V$4:$V$286,V212)-1</f>
        <v>26</v>
      </c>
      <c r="X212" s="121"/>
      <c r="Y212" s="121"/>
      <c r="Z212" s="121"/>
      <c r="AA212" s="121"/>
    </row>
    <row r="213" spans="1:27" ht="18.75">
      <c r="A213" s="88"/>
      <c r="B213" s="121">
        <v>5130</v>
      </c>
      <c r="C213" s="121" t="s">
        <v>191</v>
      </c>
      <c r="D213" s="88" t="s">
        <v>1012</v>
      </c>
      <c r="E213" s="121">
        <v>53</v>
      </c>
      <c r="F213" s="46" t="s">
        <v>1013</v>
      </c>
      <c r="G213" s="26" t="s">
        <v>78</v>
      </c>
      <c r="H213" s="122">
        <v>5600</v>
      </c>
      <c r="I213" s="123"/>
      <c r="J213" s="130" t="str">
        <f>HYPERLINK("https://drive.google.com/open?id=0B2rLR4BADrBtcUVBTlEyek53aW8","5130")</f>
        <v>5130</v>
      </c>
      <c r="K213" s="132" t="str">
        <f t="shared" si="32"/>
        <v>5130</v>
      </c>
      <c r="L213" s="125"/>
      <c r="M213" s="46"/>
      <c r="N213" s="126"/>
      <c r="O213" s="126"/>
      <c r="P213" s="126"/>
      <c r="Q213" s="126"/>
      <c r="R213" s="126"/>
      <c r="S213" s="126"/>
      <c r="T213" s="128">
        <v>10</v>
      </c>
      <c r="U213" s="128">
        <f t="shared" si="33"/>
        <v>2561</v>
      </c>
      <c r="V213" s="129" t="str">
        <f t="shared" si="27"/>
        <v>51</v>
      </c>
      <c r="W213" s="121">
        <f t="shared" si="34"/>
        <v>26</v>
      </c>
      <c r="X213" s="121"/>
      <c r="Y213" s="121"/>
      <c r="Z213" s="121"/>
      <c r="AA213" s="121"/>
    </row>
    <row r="214" spans="1:27" ht="18.75">
      <c r="A214" s="88"/>
      <c r="B214" s="121">
        <v>5130</v>
      </c>
      <c r="C214" s="121" t="s">
        <v>191</v>
      </c>
      <c r="D214" s="88" t="s">
        <v>1014</v>
      </c>
      <c r="E214" s="121">
        <v>53</v>
      </c>
      <c r="F214" s="46" t="s">
        <v>1015</v>
      </c>
      <c r="G214" s="26" t="s">
        <v>78</v>
      </c>
      <c r="H214" s="122">
        <v>6900</v>
      </c>
      <c r="I214" s="123"/>
      <c r="J214" s="130" t="str">
        <f>HYPERLINK("https://drive.google.com/open?id=0B2vBTVEfSzItWUVzTlh0OEpfM0E","5130")</f>
        <v>5130</v>
      </c>
      <c r="K214" s="133" t="str">
        <f>HYPERLINK("https://drive.google.com/drive/folders/0BwQ57SNHxB3BaTgxQUtZcFZXLUk","5130")</f>
        <v>5130</v>
      </c>
      <c r="L214" s="134"/>
      <c r="M214" s="46"/>
      <c r="N214" s="126"/>
      <c r="O214" s="126"/>
      <c r="P214" s="126"/>
      <c r="Q214" s="126"/>
      <c r="R214" s="126"/>
      <c r="S214" s="126"/>
      <c r="T214" s="128">
        <v>10</v>
      </c>
      <c r="U214" s="128">
        <f t="shared" si="33"/>
        <v>2561</v>
      </c>
      <c r="V214" s="129" t="str">
        <f t="shared" si="27"/>
        <v>51</v>
      </c>
      <c r="W214" s="121">
        <f t="shared" si="34"/>
        <v>26</v>
      </c>
      <c r="X214" s="121"/>
      <c r="Y214" s="121"/>
      <c r="Z214" s="121"/>
      <c r="AA214" s="121"/>
    </row>
    <row r="215" spans="1:27" ht="18.75">
      <c r="A215" s="88"/>
      <c r="B215" s="121">
        <v>5130</v>
      </c>
      <c r="C215" s="121" t="s">
        <v>191</v>
      </c>
      <c r="D215" s="88" t="s">
        <v>1016</v>
      </c>
      <c r="E215" s="121">
        <v>55</v>
      </c>
      <c r="F215" s="46" t="s">
        <v>1017</v>
      </c>
      <c r="G215" s="26" t="s">
        <v>78</v>
      </c>
      <c r="H215" s="122">
        <v>6500</v>
      </c>
      <c r="I215" s="123"/>
      <c r="J215" s="130" t="str">
        <f>HYPERLINK("https://drive.google.com/open?id=0B2rLR4BADrBtUW9kTzJieDdDOEE","5130")</f>
        <v>5130</v>
      </c>
      <c r="K215" s="132" t="str">
        <f>HYPERLINK("https://drive.google.com/drive/folders/0BwN2QqBc2z4QflhnNklpTEZqRnBLWXVqR2hINEE3NUEyMklIcTFRSzkyT1ZJR1ZhT1RZcW8","5130")</f>
        <v>5130</v>
      </c>
      <c r="L215" s="125"/>
      <c r="M215" s="46"/>
      <c r="N215" s="126"/>
      <c r="O215" s="126"/>
      <c r="P215" s="126"/>
      <c r="Q215" s="126"/>
      <c r="R215" s="126"/>
      <c r="S215" s="126"/>
      <c r="T215" s="128">
        <v>10</v>
      </c>
      <c r="U215" s="128">
        <f t="shared" si="33"/>
        <v>2563</v>
      </c>
      <c r="V215" s="129" t="str">
        <f t="shared" si="27"/>
        <v>51</v>
      </c>
      <c r="W215" s="121">
        <f t="shared" si="34"/>
        <v>26</v>
      </c>
      <c r="X215" s="121"/>
      <c r="Y215" s="121"/>
      <c r="Z215" s="121"/>
      <c r="AA215" s="121"/>
    </row>
    <row r="216" spans="1:27" ht="18.75">
      <c r="A216" s="88"/>
      <c r="B216" s="121">
        <v>5130</v>
      </c>
      <c r="C216" s="121" t="s">
        <v>191</v>
      </c>
      <c r="D216" s="88" t="s">
        <v>1018</v>
      </c>
      <c r="E216" s="121">
        <v>55</v>
      </c>
      <c r="F216" s="46" t="s">
        <v>1019</v>
      </c>
      <c r="G216" s="26" t="s">
        <v>78</v>
      </c>
      <c r="H216" s="122">
        <v>10800</v>
      </c>
      <c r="I216" s="123"/>
      <c r="J216" s="130" t="str">
        <f>HYPERLINK("https://drive.google.com/open?id=0B2rLR4BADrBtcHI4dzlUY0dMVkE","5130")</f>
        <v>5130</v>
      </c>
      <c r="K216" s="132" t="str">
        <f>HYPERLINK("https://drive.google.com/drive/folders/0BwN2QqBc2z4QflhnNklpTEZqRnBLWXVqR2hINEE3NUEyMklIcTFRSzkyT1ZJR1ZhT1RZcW8","5130")</f>
        <v>5130</v>
      </c>
      <c r="L216" s="125"/>
      <c r="M216" s="46"/>
      <c r="N216" s="126"/>
      <c r="O216" s="126"/>
      <c r="P216" s="126"/>
      <c r="Q216" s="126"/>
      <c r="R216" s="126"/>
      <c r="S216" s="126"/>
      <c r="T216" s="128">
        <v>10</v>
      </c>
      <c r="U216" s="128">
        <f t="shared" si="33"/>
        <v>2563</v>
      </c>
      <c r="V216" s="129" t="str">
        <f t="shared" si="27"/>
        <v>51</v>
      </c>
      <c r="W216" s="121">
        <f t="shared" si="34"/>
        <v>26</v>
      </c>
      <c r="X216" s="121"/>
      <c r="Y216" s="121"/>
      <c r="Z216" s="121"/>
      <c r="AA216" s="121"/>
    </row>
    <row r="217" spans="1:27" ht="18.75">
      <c r="A217" s="88"/>
      <c r="B217" s="121">
        <v>5130</v>
      </c>
      <c r="C217" s="121" t="s">
        <v>191</v>
      </c>
      <c r="D217" s="88" t="s">
        <v>1020</v>
      </c>
      <c r="E217" s="121">
        <v>53</v>
      </c>
      <c r="F217" s="46" t="s">
        <v>1021</v>
      </c>
      <c r="G217" s="26" t="s">
        <v>78</v>
      </c>
      <c r="H217" s="122">
        <v>11500</v>
      </c>
      <c r="I217" s="123"/>
      <c r="J217" s="130" t="str">
        <f>HYPERLINK("https://drive.google.com/open?id=0B2rLR4BADrBtQWdEQXZiWTlkSG8","5130")</f>
        <v>5130</v>
      </c>
      <c r="K217" s="132" t="str">
        <f>HYPERLINK("https://drive.google.com/drive/folders/0BwN2QqBc2z4QflhnNklpTEZqRnBLWXVqR2hINEE3NUEyMklIcTFRSzkyT1ZJR1ZhT1RZcW8","5130")</f>
        <v>5130</v>
      </c>
      <c r="L217" s="125"/>
      <c r="M217" s="46"/>
      <c r="N217" s="126"/>
      <c r="O217" s="126"/>
      <c r="P217" s="126"/>
      <c r="Q217" s="126"/>
      <c r="R217" s="126"/>
      <c r="S217" s="126"/>
      <c r="T217" s="128">
        <v>10</v>
      </c>
      <c r="U217" s="128">
        <f t="shared" si="33"/>
        <v>2561</v>
      </c>
      <c r="V217" s="129" t="str">
        <f t="shared" si="27"/>
        <v>51</v>
      </c>
      <c r="W217" s="121">
        <f t="shared" si="34"/>
        <v>26</v>
      </c>
      <c r="X217" s="121"/>
      <c r="Y217" s="121"/>
      <c r="Z217" s="121"/>
      <c r="AA217" s="121"/>
    </row>
    <row r="218" spans="1:27" ht="18.75">
      <c r="A218" s="88"/>
      <c r="B218" s="121">
        <v>5130</v>
      </c>
      <c r="C218" s="121" t="s">
        <v>191</v>
      </c>
      <c r="D218" s="88" t="s">
        <v>1022</v>
      </c>
      <c r="E218" s="121">
        <v>52</v>
      </c>
      <c r="F218" s="46" t="s">
        <v>1023</v>
      </c>
      <c r="G218" s="26" t="s">
        <v>78</v>
      </c>
      <c r="H218" s="122">
        <v>12500</v>
      </c>
      <c r="I218" s="123"/>
      <c r="J218" s="130" t="str">
        <f>HYPERLINK("https://drive.google.com/open?id=0B2rLR4BADrBtNUgzZ0lCaUVWcTA","5130")</f>
        <v>5130</v>
      </c>
      <c r="K218" s="132" t="str">
        <f>HYPERLINK("https://drive.google.com/drive/folders/0BwN2QqBc2z4QflhnNklpTEZqRnBLWXVqR2hINEE3NUEyMklIcTFRSzkyT1ZJR1ZhT1RZcW8","5130")</f>
        <v>5130</v>
      </c>
      <c r="L218" s="125"/>
      <c r="M218" s="46"/>
      <c r="N218" s="126"/>
      <c r="O218" s="126"/>
      <c r="P218" s="126"/>
      <c r="Q218" s="126"/>
      <c r="R218" s="126"/>
      <c r="S218" s="126"/>
      <c r="T218" s="128">
        <v>10</v>
      </c>
      <c r="U218" s="128">
        <f t="shared" si="33"/>
        <v>2560</v>
      </c>
      <c r="V218" s="129" t="str">
        <f t="shared" si="27"/>
        <v>51</v>
      </c>
      <c r="W218" s="121">
        <f t="shared" si="34"/>
        <v>26</v>
      </c>
      <c r="X218" s="121"/>
      <c r="Y218" s="121"/>
      <c r="Z218" s="121"/>
      <c r="AA218" s="121"/>
    </row>
    <row r="219" spans="1:27" ht="18.75">
      <c r="A219" s="88"/>
      <c r="B219" s="121">
        <v>5133</v>
      </c>
      <c r="C219" s="121" t="s">
        <v>157</v>
      </c>
      <c r="D219" s="88" t="s">
        <v>1024</v>
      </c>
      <c r="E219" s="121">
        <v>53</v>
      </c>
      <c r="F219" s="46" t="s">
        <v>1025</v>
      </c>
      <c r="G219" s="26" t="s">
        <v>53</v>
      </c>
      <c r="H219" s="122">
        <v>4500</v>
      </c>
      <c r="I219" s="123"/>
      <c r="J219" s="130" t="str">
        <f>HYPERLINK("https://drive.google.com/open?id=0B2vBTVEfSzItZ2VsWEh3TEdhT0E","5133")</f>
        <v>5133</v>
      </c>
      <c r="K219" s="132" t="str">
        <f>HYPERLINK("https://drive.google.com/drive/folders/0BwQ57SNHxB3Bc3ZGVkRXWUpyRWs","5133")</f>
        <v>5133</v>
      </c>
      <c r="L219" s="125"/>
      <c r="M219" s="93"/>
      <c r="N219" s="126"/>
      <c r="O219" s="126"/>
      <c r="P219" s="126"/>
      <c r="Q219" s="126"/>
      <c r="R219" s="126"/>
      <c r="S219" s="126"/>
      <c r="T219" s="128">
        <v>10</v>
      </c>
      <c r="U219" s="128">
        <f t="shared" si="33"/>
        <v>2561</v>
      </c>
      <c r="V219" s="129" t="str">
        <f t="shared" si="27"/>
        <v>51</v>
      </c>
      <c r="W219" s="121">
        <f t="shared" si="34"/>
        <v>26</v>
      </c>
      <c r="X219" s="121"/>
      <c r="Y219" s="121"/>
      <c r="Z219" s="121"/>
      <c r="AA219" s="121"/>
    </row>
    <row r="220" spans="1:27" ht="18.75">
      <c r="A220" s="88"/>
      <c r="B220" s="121">
        <v>5180</v>
      </c>
      <c r="C220" s="121" t="s">
        <v>157</v>
      </c>
      <c r="D220" s="88" t="s">
        <v>1026</v>
      </c>
      <c r="E220" s="121">
        <v>54</v>
      </c>
      <c r="F220" s="46" t="s">
        <v>1027</v>
      </c>
      <c r="G220" s="26" t="s">
        <v>53</v>
      </c>
      <c r="H220" s="122">
        <v>28000</v>
      </c>
      <c r="I220" s="123"/>
      <c r="J220" s="130" t="str">
        <f>HYPERLINK("https://drive.google.com/open?id=0B2rLR4BADrBtYUhrQTJrMFdiTWc","5180")</f>
        <v>5180</v>
      </c>
      <c r="K220" s="132" t="str">
        <f>HYPERLINK("https://drive.google.com/drive/folders/0BwQ57SNHxB3BbzltSHJMTDBiRW8","5180")</f>
        <v>5180</v>
      </c>
      <c r="L220" s="125"/>
      <c r="M220" s="46"/>
      <c r="N220" s="126"/>
      <c r="O220" s="126"/>
      <c r="P220" s="126"/>
      <c r="Q220" s="126"/>
      <c r="R220" s="126"/>
      <c r="S220" s="126"/>
      <c r="T220" s="135">
        <v>10</v>
      </c>
      <c r="U220" s="135">
        <f t="shared" si="33"/>
        <v>2562</v>
      </c>
      <c r="V220" s="129" t="str">
        <f t="shared" si="27"/>
        <v>51</v>
      </c>
      <c r="W220" s="121">
        <f>COUNTIF('สำเนาของ 52-62 (สำหรับ จก.ตรวจเ'!$V$4:$V$286,V220)-1</f>
        <v>26</v>
      </c>
      <c r="X220" s="121"/>
      <c r="Y220" s="121"/>
      <c r="Z220" s="121"/>
      <c r="AA220" s="121"/>
    </row>
    <row r="221" spans="1:27" ht="18.75">
      <c r="A221" s="117"/>
      <c r="B221" s="117">
        <v>5200</v>
      </c>
      <c r="C221" s="117"/>
      <c r="D221" s="117" t="str">
        <f>"พัสดุ"&amp; VLOOKUP(V221,'เลขSpec.2 ตัวแรก'!$A$2:$B$100,2,FALSE)&amp; " จำนวน "&amp;W221&amp;" รายการ"</f>
        <v>พัสดุหมวด 52 เครื่องมือวัด จำนวน 0 รายการ</v>
      </c>
      <c r="E221" s="119"/>
      <c r="F221" s="119"/>
      <c r="G221" s="119"/>
      <c r="H221" s="117"/>
      <c r="I221" s="117"/>
      <c r="J221" s="117"/>
      <c r="K221" s="118"/>
      <c r="L221" s="117"/>
      <c r="M221" s="117"/>
      <c r="N221" s="117"/>
      <c r="O221" s="117"/>
      <c r="P221" s="117"/>
      <c r="Q221" s="119"/>
      <c r="R221" s="119"/>
      <c r="S221" s="119"/>
      <c r="T221" s="117"/>
      <c r="U221" s="117"/>
      <c r="V221" s="117" t="str">
        <f t="shared" si="27"/>
        <v>52</v>
      </c>
      <c r="W221" s="118">
        <f>COUNTIF($V$2:$V$286,V221)-1</f>
        <v>0</v>
      </c>
      <c r="X221" s="117"/>
      <c r="Y221" s="24"/>
      <c r="Z221" s="24"/>
      <c r="AA221" s="24"/>
    </row>
    <row r="222" spans="1:27" ht="18.75">
      <c r="A222" s="117"/>
      <c r="B222" s="117">
        <v>5300</v>
      </c>
      <c r="C222" s="117"/>
      <c r="D222" s="120" t="str">
        <f>"พัสดุ"&amp; VLOOKUP(V222,'เลขSpec.2 ตัวแรก'!$A$2:$B$100,2,FALSE)&amp; " จำนวน "&amp;W222&amp;" รายการ"</f>
        <v>พัสดุหมวด 53 ฮาร์ดแวร์และวัสดุสำหรับขัด จำนวน 2 รายการ</v>
      </c>
      <c r="E222" s="119"/>
      <c r="F222" s="119"/>
      <c r="G222" s="117"/>
      <c r="H222" s="117"/>
      <c r="I222" s="117"/>
      <c r="J222" s="118"/>
      <c r="K222" s="117"/>
      <c r="L222" s="117"/>
      <c r="M222" s="117"/>
      <c r="N222" s="117"/>
      <c r="O222" s="117"/>
      <c r="P222" s="119"/>
      <c r="Q222" s="119"/>
      <c r="R222" s="119"/>
      <c r="S222" s="117"/>
      <c r="T222" s="117"/>
      <c r="U222" s="117"/>
      <c r="V222" s="118" t="str">
        <f t="shared" si="27"/>
        <v>53</v>
      </c>
      <c r="W222" s="117">
        <f>COUNTIF($V$4:$V$286,V222)-1</f>
        <v>2</v>
      </c>
      <c r="X222" s="117"/>
      <c r="Y222" s="24"/>
      <c r="Z222" s="24"/>
      <c r="AA222" s="24"/>
    </row>
    <row r="223" spans="1:27" ht="18.75">
      <c r="A223" s="88"/>
      <c r="B223" s="121">
        <v>5345</v>
      </c>
      <c r="C223" s="121" t="s">
        <v>157</v>
      </c>
      <c r="D223" s="88" t="s">
        <v>1028</v>
      </c>
      <c r="E223" s="121">
        <v>52</v>
      </c>
      <c r="F223" s="46" t="s">
        <v>1029</v>
      </c>
      <c r="G223" s="26" t="s">
        <v>48</v>
      </c>
      <c r="H223" s="122">
        <v>6500</v>
      </c>
      <c r="I223" s="123"/>
      <c r="J223" s="130" t="str">
        <f>HYPERLINK("https://drive.google.com/open?id=0B2rLR4BADrBtWDlRQk1xWlVaWGM","5345")</f>
        <v>5345</v>
      </c>
      <c r="K223" s="132" t="str">
        <f>HYPERLINK("https://drive.google.com/drive/folders/0BwQ57SNHxB3BSTFWM3BieXJXZ1E","5345")</f>
        <v>5345</v>
      </c>
      <c r="L223" s="125"/>
      <c r="M223" s="46"/>
      <c r="N223" s="126"/>
      <c r="O223" s="126"/>
      <c r="P223" s="126"/>
      <c r="Q223" s="126"/>
      <c r="R223" s="126"/>
      <c r="S223" s="126"/>
      <c r="T223" s="128">
        <v>15</v>
      </c>
      <c r="U223" s="128">
        <f>E223+T223-2+2500</f>
        <v>2565</v>
      </c>
      <c r="V223" s="129" t="str">
        <f t="shared" si="27"/>
        <v>53</v>
      </c>
      <c r="W223" s="121">
        <f>COUNTIF($V$4:$V$286,V223)-1</f>
        <v>2</v>
      </c>
      <c r="X223" s="121"/>
      <c r="Y223" s="121"/>
      <c r="Z223" s="121"/>
      <c r="AA223" s="121"/>
    </row>
    <row r="224" spans="1:27" ht="18.75">
      <c r="A224" s="88"/>
      <c r="B224" s="121">
        <v>5345</v>
      </c>
      <c r="C224" s="121" t="s">
        <v>157</v>
      </c>
      <c r="D224" s="88" t="s">
        <v>1030</v>
      </c>
      <c r="E224" s="121">
        <v>53</v>
      </c>
      <c r="F224" s="46" t="s">
        <v>1031</v>
      </c>
      <c r="G224" s="26" t="s">
        <v>48</v>
      </c>
      <c r="H224" s="122">
        <v>8500</v>
      </c>
      <c r="I224" s="123"/>
      <c r="J224" s="130" t="str">
        <f>HYPERLINK("https://drive.google.com/open?id=0B2rLR4BADrBtOXB0UGE5Vkw3M00","5345")</f>
        <v>5345</v>
      </c>
      <c r="K224" s="132" t="str">
        <f>HYPERLINK("https://drive.google.com/drive/folders/0BwQ57SNHxB3BSTFWM3BieXJXZ1E","5345")</f>
        <v>5345</v>
      </c>
      <c r="L224" s="125"/>
      <c r="M224" s="46"/>
      <c r="N224" s="126"/>
      <c r="O224" s="126"/>
      <c r="P224" s="126"/>
      <c r="Q224" s="126"/>
      <c r="R224" s="126"/>
      <c r="S224" s="126"/>
      <c r="T224" s="128">
        <v>15</v>
      </c>
      <c r="U224" s="128">
        <f>E224+T224-2+2500</f>
        <v>2566</v>
      </c>
      <c r="V224" s="129" t="str">
        <f t="shared" si="27"/>
        <v>53</v>
      </c>
      <c r="W224" s="121">
        <f>COUNTIF($V$4:$V$286,V224)-1</f>
        <v>2</v>
      </c>
      <c r="X224" s="121"/>
      <c r="Y224" s="121"/>
      <c r="Z224" s="121"/>
      <c r="AA224" s="121"/>
    </row>
    <row r="225" spans="1:27" ht="18.75">
      <c r="A225" s="117"/>
      <c r="B225" s="117">
        <v>5400</v>
      </c>
      <c r="C225" s="117"/>
      <c r="D225" s="120" t="str">
        <f>"พัสดุ"&amp; VLOOKUP(V225,'เลขSpec.2 ตัวแรก'!$A$2:$B$100,2,FALSE)&amp; " จำนวน "&amp;W225&amp;" รายการ"</f>
        <v>พัสดุหมวด 54 โครงสร้างสำเร็จรูปและเครื่องนั่งร้าน จำนวน 2 รายการ</v>
      </c>
      <c r="E225" s="119"/>
      <c r="F225" s="119"/>
      <c r="G225" s="117"/>
      <c r="H225" s="117"/>
      <c r="I225" s="117"/>
      <c r="J225" s="118"/>
      <c r="K225" s="117"/>
      <c r="L225" s="117"/>
      <c r="M225" s="117"/>
      <c r="N225" s="117"/>
      <c r="O225" s="117"/>
      <c r="P225" s="119"/>
      <c r="Q225" s="119"/>
      <c r="R225" s="119"/>
      <c r="S225" s="117"/>
      <c r="T225" s="117"/>
      <c r="U225" s="117"/>
      <c r="V225" s="118" t="str">
        <f t="shared" si="27"/>
        <v>54</v>
      </c>
      <c r="W225" s="117">
        <f>COUNTIF($V$4:$V$286,V225)-1</f>
        <v>2</v>
      </c>
      <c r="X225" s="117"/>
      <c r="Y225" s="24"/>
      <c r="Z225" s="24"/>
      <c r="AA225" s="24"/>
    </row>
    <row r="226" spans="1:27" ht="18.75">
      <c r="A226" s="88"/>
      <c r="B226" s="121">
        <v>5410</v>
      </c>
      <c r="C226" s="121" t="s">
        <v>191</v>
      </c>
      <c r="D226" s="88" t="s">
        <v>1032</v>
      </c>
      <c r="E226" s="121">
        <v>54</v>
      </c>
      <c r="F226" s="46" t="s">
        <v>1033</v>
      </c>
      <c r="G226" s="26" t="s">
        <v>358</v>
      </c>
      <c r="H226" s="122">
        <v>190000</v>
      </c>
      <c r="I226" s="123"/>
      <c r="J226" s="130" t="str">
        <f>HYPERLINK("https://drive.google.com/open?id=0B2rLR4BADrBtTW1sVjNJYnJXa1U","5410")</f>
        <v>5410</v>
      </c>
      <c r="K226" s="132" t="str">
        <f>HYPERLINK("https://drive.google.com/drive/folders/0BwQ57SNHxB3BQzNCbmlnSFBlbVU","5410")</f>
        <v>5410</v>
      </c>
      <c r="L226" s="125"/>
      <c r="M226" s="46"/>
      <c r="N226" s="126"/>
      <c r="O226" s="126"/>
      <c r="P226" s="126"/>
      <c r="Q226" s="126"/>
      <c r="R226" s="126"/>
      <c r="S226" s="126"/>
      <c r="T226" s="128">
        <v>20</v>
      </c>
      <c r="U226" s="128">
        <f>E226+T226-2+2500</f>
        <v>2572</v>
      </c>
      <c r="V226" s="129" t="str">
        <f t="shared" si="27"/>
        <v>54</v>
      </c>
      <c r="W226" s="121">
        <f>COUNTIF('สำเนาของ 52-62 (สำหรับ จก.ตรวจเ'!$V$4:$V$286,V226)-1</f>
        <v>2</v>
      </c>
      <c r="X226" s="121"/>
      <c r="Y226" s="121"/>
      <c r="Z226" s="121"/>
      <c r="AA226" s="121"/>
    </row>
    <row r="227" spans="1:27" ht="18.75">
      <c r="A227" s="88"/>
      <c r="B227" s="121">
        <v>5430</v>
      </c>
      <c r="C227" s="121" t="s">
        <v>256</v>
      </c>
      <c r="D227" s="88" t="s">
        <v>1036</v>
      </c>
      <c r="E227" s="121">
        <v>59</v>
      </c>
      <c r="F227" s="46" t="s">
        <v>1037</v>
      </c>
      <c r="G227" s="26" t="s">
        <v>433</v>
      </c>
      <c r="H227" s="122">
        <v>17000</v>
      </c>
      <c r="I227" s="123">
        <v>42653</v>
      </c>
      <c r="J227" s="130" t="str">
        <f>HYPERLINK("https://drive.google.com/open?id=0B2vBTVEfSzItNF9vNEI2ZkVldXM","5430")</f>
        <v>5430</v>
      </c>
      <c r="K227" s="125"/>
      <c r="L227" s="125"/>
      <c r="M227" s="46"/>
      <c r="N227" s="126"/>
      <c r="O227" s="126"/>
      <c r="P227" s="126"/>
      <c r="Q227" s="126"/>
      <c r="R227" s="126"/>
      <c r="S227" s="126"/>
      <c r="T227" s="128"/>
      <c r="U227" s="128">
        <f>E227+T227-2+2500</f>
        <v>2557</v>
      </c>
      <c r="V227" s="129" t="str">
        <f t="shared" si="27"/>
        <v>54</v>
      </c>
      <c r="W227" s="121">
        <f>COUNTIF('สำเนาของ 52-62 (สำหรับ จก.ตรวจเ'!$V$4:$V$286,V227)-1</f>
        <v>2</v>
      </c>
      <c r="X227" s="121"/>
      <c r="Y227" s="121"/>
      <c r="Z227" s="121"/>
      <c r="AA227" s="121"/>
    </row>
    <row r="228" spans="1:27" ht="18.75">
      <c r="A228" s="117"/>
      <c r="B228" s="118">
        <v>5600</v>
      </c>
      <c r="C228" s="117"/>
      <c r="D228" s="117" t="str">
        <f>"พัสดุ"&amp; VLOOKUP(V228,'เลขSpec.2 ตัวแรก'!$A$2:$B$100,2,FALSE)&amp; " จำนวน "&amp;W228&amp;" รายการ"</f>
        <v>พัสดุหมวด 56 วัสดุอาคารและการก่อสร้าง จำนวน 0 รายการ</v>
      </c>
      <c r="E228" s="117"/>
      <c r="F228" s="117"/>
      <c r="G228" s="117"/>
      <c r="H228" s="119"/>
      <c r="I228" s="119"/>
      <c r="J228" s="119"/>
      <c r="K228" s="117"/>
      <c r="L228" s="117"/>
      <c r="M228" s="117"/>
      <c r="N228" s="118"/>
      <c r="O228" s="117"/>
      <c r="P228" s="117"/>
      <c r="Q228" s="117"/>
      <c r="R228" s="117"/>
      <c r="S228" s="117"/>
      <c r="T228" s="119"/>
      <c r="U228" s="119"/>
      <c r="V228" s="119" t="str">
        <f t="shared" si="27"/>
        <v>56</v>
      </c>
      <c r="W228" s="117">
        <f t="shared" ref="W228:W264" si="35">COUNTIF($V$4:$V$286,V228)-1</f>
        <v>0</v>
      </c>
      <c r="X228" s="117"/>
      <c r="Y228" s="24"/>
      <c r="Z228" s="24"/>
      <c r="AA228" s="24"/>
    </row>
    <row r="229" spans="1:27" ht="18.75">
      <c r="A229" s="118"/>
      <c r="B229" s="117">
        <v>5900</v>
      </c>
      <c r="C229" s="117"/>
      <c r="D229" s="117" t="str">
        <f>"พัสดุ"&amp; VLOOKUP(V229,'เลขSpec.2 ตัวแรก'!$A$2:$B$100,2,FALSE)&amp; " จำนวน "&amp;W229&amp;" รายการ"</f>
        <v>พัสดุหมวด 59 ส่วนประกอบบริภัณฑ์ไฟฟ้าและ อิเล็กทรอนิกส์ จำนวน 2 รายการ</v>
      </c>
      <c r="E229" s="117"/>
      <c r="F229" s="117"/>
      <c r="G229" s="119"/>
      <c r="H229" s="119"/>
      <c r="I229" s="119"/>
      <c r="J229" s="117"/>
      <c r="K229" s="117"/>
      <c r="L229" s="117"/>
      <c r="M229" s="118"/>
      <c r="N229" s="117"/>
      <c r="O229" s="117"/>
      <c r="P229" s="117"/>
      <c r="Q229" s="117"/>
      <c r="R229" s="117"/>
      <c r="S229" s="119"/>
      <c r="T229" s="119"/>
      <c r="U229" s="119"/>
      <c r="V229" s="117" t="str">
        <f t="shared" si="27"/>
        <v>59</v>
      </c>
      <c r="W229" s="117">
        <f t="shared" si="35"/>
        <v>2</v>
      </c>
      <c r="X229" s="117"/>
      <c r="Y229" s="24"/>
      <c r="Z229" s="24"/>
      <c r="AA229" s="24"/>
    </row>
    <row r="230" spans="1:27" ht="18.75">
      <c r="A230" s="88"/>
      <c r="B230" s="121">
        <v>5925</v>
      </c>
      <c r="C230" s="121" t="s">
        <v>37</v>
      </c>
      <c r="D230" s="88" t="s">
        <v>1042</v>
      </c>
      <c r="E230" s="121">
        <v>60</v>
      </c>
      <c r="F230" s="46" t="s">
        <v>1043</v>
      </c>
      <c r="G230" s="26" t="s">
        <v>1044</v>
      </c>
      <c r="H230" s="122">
        <v>29000</v>
      </c>
      <c r="I230" s="123"/>
      <c r="J230" s="130" t="str">
        <f>HYPERLINK("https://drive.google.com/open?id=0B2vBTVEfSzItcmcyRTRXclRCb3c","5925")</f>
        <v>5925</v>
      </c>
      <c r="K230" s="125"/>
      <c r="L230" s="125"/>
      <c r="M230" s="46"/>
      <c r="N230" s="126"/>
      <c r="O230" s="126"/>
      <c r="P230" s="126"/>
      <c r="Q230" s="126"/>
      <c r="R230" s="126"/>
      <c r="S230" s="126"/>
      <c r="T230" s="135"/>
      <c r="U230" s="135">
        <f>E230+T230-2+2500</f>
        <v>2558</v>
      </c>
      <c r="V230" s="129" t="str">
        <f t="shared" si="27"/>
        <v>59</v>
      </c>
      <c r="W230" s="121">
        <f t="shared" si="35"/>
        <v>2</v>
      </c>
      <c r="X230" s="121"/>
      <c r="Y230" s="121"/>
      <c r="Z230" s="121"/>
      <c r="AA230" s="121"/>
    </row>
    <row r="231" spans="1:27" ht="18.75">
      <c r="A231" s="88"/>
      <c r="B231" s="121">
        <v>5925</v>
      </c>
      <c r="C231" s="121" t="s">
        <v>37</v>
      </c>
      <c r="D231" s="88" t="s">
        <v>1046</v>
      </c>
      <c r="E231" s="121">
        <v>54</v>
      </c>
      <c r="F231" s="46" t="s">
        <v>1048</v>
      </c>
      <c r="G231" s="26" t="s">
        <v>1044</v>
      </c>
      <c r="H231" s="122"/>
      <c r="I231" s="123"/>
      <c r="J231" s="130" t="str">
        <f>HYPERLINK("https://drive.google.com/open?id=0B2rLR4BADrBteE5pbG96blczWEU","5925")</f>
        <v>5925</v>
      </c>
      <c r="K231" s="133" t="str">
        <f>HYPERLINK("https://drive.google.com/drive/folders/0BwQ57SNHxB3BbHBWZGhwSWlkNW8","5925")</f>
        <v>5925</v>
      </c>
      <c r="L231" s="134"/>
      <c r="M231" s="46"/>
      <c r="N231" s="126"/>
      <c r="O231" s="126"/>
      <c r="P231" s="126"/>
      <c r="Q231" s="126"/>
      <c r="R231" s="126"/>
      <c r="S231" s="126"/>
      <c r="T231" s="135">
        <v>15</v>
      </c>
      <c r="U231" s="135">
        <f>E231+T231-2+2500</f>
        <v>2567</v>
      </c>
      <c r="V231" s="129" t="str">
        <f t="shared" si="27"/>
        <v>59</v>
      </c>
      <c r="W231" s="121">
        <f t="shared" si="35"/>
        <v>2</v>
      </c>
      <c r="X231" s="121"/>
      <c r="Y231" s="121"/>
      <c r="Z231" s="121"/>
      <c r="AA231" s="121"/>
    </row>
    <row r="232" spans="1:27" ht="18.75">
      <c r="A232" s="118"/>
      <c r="B232" s="117">
        <v>6100</v>
      </c>
      <c r="C232" s="117"/>
      <c r="D232" s="117" t="str">
        <f>"พัสดุ"&amp; VLOOKUP(V232,'เลขSpec.2 ตัวแรก'!$A$2:$B$100,2,FALSE)&amp; " จำนวน "&amp;W232&amp;" รายการ"</f>
        <v>พัสดุหมวด 61 สายไฟฟ้าและบริภัณฑ์ทำไฟฟ้าและจ่ายกระแสไฟฟ้า จำนวน 43 รายการ</v>
      </c>
      <c r="E232" s="117"/>
      <c r="F232" s="117"/>
      <c r="G232" s="119"/>
      <c r="H232" s="119"/>
      <c r="I232" s="119"/>
      <c r="J232" s="117"/>
      <c r="K232" s="117"/>
      <c r="L232" s="117"/>
      <c r="M232" s="118"/>
      <c r="N232" s="117"/>
      <c r="O232" s="117"/>
      <c r="P232" s="117"/>
      <c r="Q232" s="117"/>
      <c r="R232" s="117"/>
      <c r="S232" s="119"/>
      <c r="T232" s="119"/>
      <c r="U232" s="119"/>
      <c r="V232" s="117" t="str">
        <f t="shared" si="27"/>
        <v>61</v>
      </c>
      <c r="W232" s="117">
        <f t="shared" si="35"/>
        <v>43</v>
      </c>
      <c r="X232" s="117"/>
      <c r="Y232" s="24"/>
      <c r="Z232" s="24"/>
      <c r="AA232" s="24"/>
    </row>
    <row r="233" spans="1:27" ht="37.5">
      <c r="A233" s="88"/>
      <c r="B233" s="121">
        <v>6110</v>
      </c>
      <c r="C233" s="121" t="s">
        <v>37</v>
      </c>
      <c r="D233" s="88" t="s">
        <v>1051</v>
      </c>
      <c r="E233" s="121">
        <v>53</v>
      </c>
      <c r="F233" s="46" t="s">
        <v>1052</v>
      </c>
      <c r="G233" s="26" t="s">
        <v>78</v>
      </c>
      <c r="H233" s="122">
        <v>350000</v>
      </c>
      <c r="I233" s="123"/>
      <c r="J233" s="130" t="str">
        <f>HYPERLINK("https://drive.google.com/open?id=0B2vBTVEfSzItamdLa0JXTHpQRnc","6110")</f>
        <v>6110</v>
      </c>
      <c r="K233" s="132" t="str">
        <f t="shared" ref="K233:K239" si="36">HYPERLINK("https://drive.google.com/drive/folders/0BwQ57SNHxB3BNzVuN3hRRndNODQ","6110")</f>
        <v>6110</v>
      </c>
      <c r="L233" s="125"/>
      <c r="M233" s="46"/>
      <c r="N233" s="126"/>
      <c r="O233" s="126"/>
      <c r="P233" s="126"/>
      <c r="Q233" s="126"/>
      <c r="R233" s="126"/>
      <c r="S233" s="126"/>
      <c r="T233" s="128">
        <v>15</v>
      </c>
      <c r="U233" s="128">
        <f t="shared" ref="U233:U239" si="37">E233+T233-2+2500</f>
        <v>2566</v>
      </c>
      <c r="V233" s="129" t="str">
        <f t="shared" si="27"/>
        <v>61</v>
      </c>
      <c r="W233" s="121">
        <f t="shared" si="35"/>
        <v>43</v>
      </c>
      <c r="X233" s="121"/>
      <c r="Y233" s="121"/>
      <c r="Z233" s="121"/>
      <c r="AA233" s="121"/>
    </row>
    <row r="234" spans="1:27" ht="37.5">
      <c r="A234" s="88"/>
      <c r="B234" s="121">
        <v>6110</v>
      </c>
      <c r="C234" s="121" t="s">
        <v>37</v>
      </c>
      <c r="D234" s="88" t="s">
        <v>1053</v>
      </c>
      <c r="E234" s="121">
        <v>53</v>
      </c>
      <c r="F234" s="46" t="s">
        <v>1054</v>
      </c>
      <c r="G234" s="26" t="s">
        <v>78</v>
      </c>
      <c r="H234" s="122">
        <v>738000</v>
      </c>
      <c r="I234" s="123"/>
      <c r="J234" s="130" t="str">
        <f>HYPERLINK("https://drive.google.com/open?id=0B2rLR4BADrBtZUVZRnRoX2V4R0E","6110")</f>
        <v>6110</v>
      </c>
      <c r="K234" s="132" t="str">
        <f t="shared" si="36"/>
        <v>6110</v>
      </c>
      <c r="L234" s="125"/>
      <c r="M234" s="46"/>
      <c r="N234" s="126"/>
      <c r="O234" s="126"/>
      <c r="P234" s="126"/>
      <c r="Q234" s="126"/>
      <c r="R234" s="126"/>
      <c r="S234" s="126"/>
      <c r="T234" s="128">
        <v>15</v>
      </c>
      <c r="U234" s="128">
        <f t="shared" si="37"/>
        <v>2566</v>
      </c>
      <c r="V234" s="129" t="str">
        <f t="shared" si="27"/>
        <v>61</v>
      </c>
      <c r="W234" s="121">
        <f t="shared" si="35"/>
        <v>43</v>
      </c>
      <c r="X234" s="121"/>
      <c r="Y234" s="121"/>
      <c r="Z234" s="121"/>
      <c r="AA234" s="121"/>
    </row>
    <row r="235" spans="1:27" ht="37.5">
      <c r="A235" s="88"/>
      <c r="B235" s="121">
        <v>6110</v>
      </c>
      <c r="C235" s="121" t="s">
        <v>37</v>
      </c>
      <c r="D235" s="88" t="s">
        <v>1055</v>
      </c>
      <c r="E235" s="121">
        <v>58</v>
      </c>
      <c r="F235" s="46" t="s">
        <v>1056</v>
      </c>
      <c r="G235" s="26" t="s">
        <v>78</v>
      </c>
      <c r="H235" s="122">
        <v>180000</v>
      </c>
      <c r="I235" s="123"/>
      <c r="J235" s="130" t="str">
        <f>HYPERLINK("https://drive.google.com/open?id=0B2vBTVEfSzItS214N3k5NzlyZjA","6110")</f>
        <v>6110</v>
      </c>
      <c r="K235" s="132" t="str">
        <f t="shared" si="36"/>
        <v>6110</v>
      </c>
      <c r="L235" s="125"/>
      <c r="M235" s="46"/>
      <c r="N235" s="126"/>
      <c r="O235" s="126"/>
      <c r="P235" s="126"/>
      <c r="Q235" s="126"/>
      <c r="R235" s="126"/>
      <c r="S235" s="126"/>
      <c r="T235" s="128">
        <v>15</v>
      </c>
      <c r="U235" s="128">
        <f t="shared" si="37"/>
        <v>2571</v>
      </c>
      <c r="V235" s="129" t="str">
        <f t="shared" si="27"/>
        <v>61</v>
      </c>
      <c r="W235" s="121">
        <f t="shared" si="35"/>
        <v>43</v>
      </c>
      <c r="X235" s="121"/>
      <c r="Y235" s="121"/>
      <c r="Z235" s="121"/>
      <c r="AA235" s="121"/>
    </row>
    <row r="236" spans="1:27" ht="37.5">
      <c r="A236" s="88"/>
      <c r="B236" s="121">
        <v>6110</v>
      </c>
      <c r="C236" s="121" t="s">
        <v>37</v>
      </c>
      <c r="D236" s="88" t="s">
        <v>1057</v>
      </c>
      <c r="E236" s="121">
        <v>58</v>
      </c>
      <c r="F236" s="46" t="s">
        <v>1058</v>
      </c>
      <c r="G236" s="26" t="s">
        <v>78</v>
      </c>
      <c r="H236" s="122">
        <v>450000</v>
      </c>
      <c r="I236" s="123"/>
      <c r="J236" s="130" t="str">
        <f>HYPERLINK("https://drive.google.com/open?id=0B2vBTVEfSzItZ00yZ3FkakF4TXc","6110")</f>
        <v>6110</v>
      </c>
      <c r="K236" s="132" t="str">
        <f t="shared" si="36"/>
        <v>6110</v>
      </c>
      <c r="L236" s="125"/>
      <c r="M236" s="46"/>
      <c r="N236" s="126"/>
      <c r="O236" s="126"/>
      <c r="P236" s="126"/>
      <c r="Q236" s="126"/>
      <c r="R236" s="126"/>
      <c r="S236" s="126"/>
      <c r="T236" s="128">
        <v>15</v>
      </c>
      <c r="U236" s="128">
        <f t="shared" si="37"/>
        <v>2571</v>
      </c>
      <c r="V236" s="129" t="str">
        <f t="shared" si="27"/>
        <v>61</v>
      </c>
      <c r="W236" s="121">
        <f t="shared" si="35"/>
        <v>43</v>
      </c>
      <c r="X236" s="121"/>
      <c r="Y236" s="121"/>
      <c r="Z236" s="121"/>
      <c r="AA236" s="121"/>
    </row>
    <row r="237" spans="1:27" ht="37.5">
      <c r="A237" s="88"/>
      <c r="B237" s="121">
        <v>6110</v>
      </c>
      <c r="C237" s="121" t="s">
        <v>37</v>
      </c>
      <c r="D237" s="88" t="s">
        <v>1059</v>
      </c>
      <c r="E237" s="121">
        <v>58</v>
      </c>
      <c r="F237" s="46" t="s">
        <v>1060</v>
      </c>
      <c r="G237" s="26" t="s">
        <v>78</v>
      </c>
      <c r="H237" s="122">
        <v>350000</v>
      </c>
      <c r="I237" s="123"/>
      <c r="J237" s="130" t="str">
        <f>HYPERLINK("https://drive.google.com/open?id=0B2vBTVEfSzItQ21nRC1zNFpLZDQ","6110")</f>
        <v>6110</v>
      </c>
      <c r="K237" s="132" t="str">
        <f t="shared" si="36"/>
        <v>6110</v>
      </c>
      <c r="L237" s="125"/>
      <c r="M237" s="46"/>
      <c r="N237" s="126"/>
      <c r="O237" s="126"/>
      <c r="P237" s="126"/>
      <c r="Q237" s="126"/>
      <c r="R237" s="126"/>
      <c r="S237" s="126"/>
      <c r="T237" s="128">
        <v>15</v>
      </c>
      <c r="U237" s="128">
        <f t="shared" si="37"/>
        <v>2571</v>
      </c>
      <c r="V237" s="129" t="str">
        <f t="shared" si="27"/>
        <v>61</v>
      </c>
      <c r="W237" s="121">
        <f t="shared" si="35"/>
        <v>43</v>
      </c>
      <c r="X237" s="121"/>
      <c r="Y237" s="121"/>
      <c r="Z237" s="121"/>
      <c r="AA237" s="121"/>
    </row>
    <row r="238" spans="1:27" ht="37.5">
      <c r="A238" s="88"/>
      <c r="B238" s="121">
        <v>6110</v>
      </c>
      <c r="C238" s="121" t="s">
        <v>37</v>
      </c>
      <c r="D238" s="88" t="s">
        <v>1061</v>
      </c>
      <c r="E238" s="121">
        <v>58</v>
      </c>
      <c r="F238" s="46" t="s">
        <v>1062</v>
      </c>
      <c r="G238" s="26" t="s">
        <v>78</v>
      </c>
      <c r="H238" s="122">
        <v>300000</v>
      </c>
      <c r="I238" s="123"/>
      <c r="J238" s="130" t="str">
        <f>HYPERLINK("https://drive.google.com/open?id=0B2vBTVEfSzItLWt0UlJQQVAyM00","6110")</f>
        <v>6110</v>
      </c>
      <c r="K238" s="132" t="str">
        <f t="shared" si="36"/>
        <v>6110</v>
      </c>
      <c r="L238" s="125"/>
      <c r="M238" s="46"/>
      <c r="N238" s="126"/>
      <c r="O238" s="126"/>
      <c r="P238" s="126"/>
      <c r="Q238" s="126"/>
      <c r="R238" s="126"/>
      <c r="S238" s="126"/>
      <c r="T238" s="128">
        <v>15</v>
      </c>
      <c r="U238" s="128">
        <f t="shared" si="37"/>
        <v>2571</v>
      </c>
      <c r="V238" s="129" t="str">
        <f t="shared" si="27"/>
        <v>61</v>
      </c>
      <c r="W238" s="121">
        <f t="shared" si="35"/>
        <v>43</v>
      </c>
      <c r="X238" s="121"/>
      <c r="Y238" s="121"/>
      <c r="Z238" s="121"/>
      <c r="AA238" s="121"/>
    </row>
    <row r="239" spans="1:27" ht="37.5">
      <c r="A239" s="88"/>
      <c r="B239" s="121">
        <v>6110</v>
      </c>
      <c r="C239" s="121" t="s">
        <v>37</v>
      </c>
      <c r="D239" s="88" t="s">
        <v>1063</v>
      </c>
      <c r="E239" s="121">
        <v>58</v>
      </c>
      <c r="F239" s="46" t="s">
        <v>1064</v>
      </c>
      <c r="G239" s="26" t="s">
        <v>78</v>
      </c>
      <c r="H239" s="122">
        <v>450000</v>
      </c>
      <c r="I239" s="123"/>
      <c r="J239" s="130" t="str">
        <f>HYPERLINK("https://drive.google.com/open?id=0B2vBTVEfSzItdnBNNmhGS21McHc","6110")</f>
        <v>6110</v>
      </c>
      <c r="K239" s="132" t="str">
        <f t="shared" si="36"/>
        <v>6110</v>
      </c>
      <c r="L239" s="125"/>
      <c r="M239" s="46"/>
      <c r="N239" s="126"/>
      <c r="O239" s="126"/>
      <c r="P239" s="126"/>
      <c r="Q239" s="126"/>
      <c r="R239" s="126"/>
      <c r="S239" s="126"/>
      <c r="T239" s="128">
        <v>15</v>
      </c>
      <c r="U239" s="128">
        <f t="shared" si="37"/>
        <v>2571</v>
      </c>
      <c r="V239" s="129" t="str">
        <f t="shared" si="27"/>
        <v>61</v>
      </c>
      <c r="W239" s="121">
        <f t="shared" si="35"/>
        <v>43</v>
      </c>
      <c r="X239" s="121"/>
      <c r="Y239" s="121"/>
      <c r="Z239" s="121"/>
      <c r="AA239" s="121"/>
    </row>
    <row r="240" spans="1:27" ht="18.75">
      <c r="A240" s="88"/>
      <c r="B240" s="121">
        <v>6110</v>
      </c>
      <c r="C240" s="121" t="s">
        <v>37</v>
      </c>
      <c r="D240" s="88" t="s">
        <v>1065</v>
      </c>
      <c r="E240" s="121">
        <v>61</v>
      </c>
      <c r="F240" s="46" t="s">
        <v>1066</v>
      </c>
      <c r="G240" s="26" t="s">
        <v>78</v>
      </c>
      <c r="H240" s="122">
        <v>1500000</v>
      </c>
      <c r="I240" s="123"/>
      <c r="J240" s="130" t="str">
        <f>HYPERLINK("https://drive.google.com/open?id=1mR2LuVdrUUEGanGBuqTR9oFlm2GfBDS7","6110")</f>
        <v>6110</v>
      </c>
      <c r="K240" s="125"/>
      <c r="L240" s="125"/>
      <c r="M240" s="46"/>
      <c r="N240" s="126"/>
      <c r="O240" s="126"/>
      <c r="P240" s="126"/>
      <c r="Q240" s="126"/>
      <c r="R240" s="126"/>
      <c r="S240" s="126"/>
      <c r="T240" s="128"/>
      <c r="U240" s="128"/>
      <c r="V240" s="129" t="str">
        <f t="shared" si="27"/>
        <v>61</v>
      </c>
      <c r="W240" s="121">
        <f t="shared" si="35"/>
        <v>43</v>
      </c>
      <c r="X240" s="121"/>
      <c r="Y240" s="121"/>
      <c r="Z240" s="121"/>
      <c r="AA240" s="121"/>
    </row>
    <row r="241" spans="1:27" ht="18.75">
      <c r="A241" s="88"/>
      <c r="B241" s="121">
        <v>6110</v>
      </c>
      <c r="C241" s="121" t="s">
        <v>37</v>
      </c>
      <c r="D241" s="88" t="s">
        <v>1067</v>
      </c>
      <c r="E241" s="121">
        <v>59</v>
      </c>
      <c r="F241" s="46" t="s">
        <v>1068</v>
      </c>
      <c r="G241" s="26" t="s">
        <v>78</v>
      </c>
      <c r="H241" s="122">
        <v>800000</v>
      </c>
      <c r="I241" s="123"/>
      <c r="J241" s="130" t="str">
        <f>HYPERLINK("https://drive.google.com/open?id=0B2vBTVEfSzItTUdNaTdXenY0cVU","6110")</f>
        <v>6110</v>
      </c>
      <c r="K241" s="125"/>
      <c r="L241" s="125"/>
      <c r="M241" s="46"/>
      <c r="N241" s="126"/>
      <c r="O241" s="126"/>
      <c r="P241" s="126"/>
      <c r="Q241" s="126"/>
      <c r="R241" s="126"/>
      <c r="S241" s="126"/>
      <c r="T241" s="128"/>
      <c r="U241" s="128">
        <f t="shared" ref="U241:U257" si="38">E241+T241-2+2500</f>
        <v>2557</v>
      </c>
      <c r="V241" s="129" t="str">
        <f t="shared" si="27"/>
        <v>61</v>
      </c>
      <c r="W241" s="121">
        <f t="shared" si="35"/>
        <v>43</v>
      </c>
      <c r="X241" s="121"/>
      <c r="Y241" s="121"/>
      <c r="Z241" s="121"/>
      <c r="AA241" s="121"/>
    </row>
    <row r="242" spans="1:27" ht="18.75">
      <c r="A242" s="88"/>
      <c r="B242" s="121">
        <v>6110</v>
      </c>
      <c r="C242" s="121" t="s">
        <v>37</v>
      </c>
      <c r="D242" s="88" t="s">
        <v>1069</v>
      </c>
      <c r="E242" s="121">
        <v>60</v>
      </c>
      <c r="F242" s="46" t="s">
        <v>1070</v>
      </c>
      <c r="G242" s="26" t="s">
        <v>78</v>
      </c>
      <c r="H242" s="122">
        <v>1200000</v>
      </c>
      <c r="I242" s="123"/>
      <c r="J242" s="130" t="str">
        <f>HYPERLINK("https://drive.google.com/open?id=0B2vBTVEfSzItTlVPM3o5OVNEdHM","6110")</f>
        <v>6110</v>
      </c>
      <c r="K242" s="125"/>
      <c r="L242" s="125"/>
      <c r="M242" s="46"/>
      <c r="N242" s="126"/>
      <c r="O242" s="126"/>
      <c r="P242" s="126"/>
      <c r="Q242" s="126"/>
      <c r="R242" s="126"/>
      <c r="S242" s="126"/>
      <c r="T242" s="128"/>
      <c r="U242" s="128">
        <f t="shared" si="38"/>
        <v>2558</v>
      </c>
      <c r="V242" s="129" t="str">
        <f t="shared" si="27"/>
        <v>61</v>
      </c>
      <c r="W242" s="121">
        <f t="shared" si="35"/>
        <v>43</v>
      </c>
      <c r="X242" s="121"/>
      <c r="Y242" s="121"/>
      <c r="Z242" s="121"/>
      <c r="AA242" s="121"/>
    </row>
    <row r="243" spans="1:27" ht="18.75">
      <c r="A243" s="88"/>
      <c r="B243" s="121">
        <v>6110</v>
      </c>
      <c r="C243" s="121" t="s">
        <v>37</v>
      </c>
      <c r="D243" s="88" t="s">
        <v>1071</v>
      </c>
      <c r="E243" s="121">
        <v>56</v>
      </c>
      <c r="F243" s="46" t="s">
        <v>1072</v>
      </c>
      <c r="G243" s="26" t="s">
        <v>78</v>
      </c>
      <c r="H243" s="122">
        <v>1500000</v>
      </c>
      <c r="I243" s="123"/>
      <c r="J243" s="130" t="str">
        <f>HYPERLINK("https://drive.google.com/open?id=0B2rLR4BADrBtalpfa1dsSFhhR1U","6110")</f>
        <v>6110</v>
      </c>
      <c r="K243" s="132" t="str">
        <f>HYPERLINK("https://drive.google.com/drive/folders/0BwQ57SNHxB3BNzVuN3hRRndNODQ","6110")</f>
        <v>6110</v>
      </c>
      <c r="L243" s="125"/>
      <c r="M243" s="46"/>
      <c r="N243" s="126"/>
      <c r="O243" s="126"/>
      <c r="P243" s="126"/>
      <c r="Q243" s="126"/>
      <c r="R243" s="126"/>
      <c r="S243" s="126"/>
      <c r="T243" s="128">
        <v>15</v>
      </c>
      <c r="U243" s="128">
        <f t="shared" si="38"/>
        <v>2569</v>
      </c>
      <c r="V243" s="129" t="str">
        <f t="shared" si="27"/>
        <v>61</v>
      </c>
      <c r="W243" s="121">
        <f t="shared" si="35"/>
        <v>43</v>
      </c>
      <c r="X243" s="121"/>
      <c r="Y243" s="121"/>
      <c r="Z243" s="121"/>
      <c r="AA243" s="121"/>
    </row>
    <row r="244" spans="1:27" ht="18.75">
      <c r="A244" s="88"/>
      <c r="B244" s="121">
        <v>6110</v>
      </c>
      <c r="C244" s="121" t="s">
        <v>37</v>
      </c>
      <c r="D244" s="88" t="s">
        <v>1073</v>
      </c>
      <c r="E244" s="121">
        <v>55</v>
      </c>
      <c r="F244" s="46" t="s">
        <v>1074</v>
      </c>
      <c r="G244" s="26" t="s">
        <v>78</v>
      </c>
      <c r="H244" s="122">
        <v>1350000</v>
      </c>
      <c r="I244" s="123"/>
      <c r="J244" s="130" t="str">
        <f>HYPERLINK("https://drive.google.com/open?id=0B2rLR4BADrBtRjJrdnpLUEVKc2c","6110")</f>
        <v>6110</v>
      </c>
      <c r="K244" s="132" t="str">
        <f>HYPERLINK("https://drive.google.com/drive/folders/0BwQ57SNHxB3BNzVuN3hRRndNODQ","6110")</f>
        <v>6110</v>
      </c>
      <c r="L244" s="125"/>
      <c r="M244" s="46"/>
      <c r="N244" s="126"/>
      <c r="O244" s="126"/>
      <c r="P244" s="126"/>
      <c r="Q244" s="126"/>
      <c r="R244" s="126"/>
      <c r="S244" s="126"/>
      <c r="T244" s="128">
        <v>15</v>
      </c>
      <c r="U244" s="128">
        <f t="shared" si="38"/>
        <v>2568</v>
      </c>
      <c r="V244" s="129" t="str">
        <f t="shared" si="27"/>
        <v>61</v>
      </c>
      <c r="W244" s="121">
        <f t="shared" si="35"/>
        <v>43</v>
      </c>
      <c r="X244" s="121"/>
      <c r="Y244" s="121"/>
      <c r="Z244" s="121"/>
      <c r="AA244" s="121"/>
    </row>
    <row r="245" spans="1:27" ht="18.75">
      <c r="A245" s="88"/>
      <c r="B245" s="121">
        <v>6110</v>
      </c>
      <c r="C245" s="121" t="s">
        <v>37</v>
      </c>
      <c r="D245" s="88" t="s">
        <v>1075</v>
      </c>
      <c r="E245" s="121">
        <v>57</v>
      </c>
      <c r="F245" s="46" t="s">
        <v>1076</v>
      </c>
      <c r="G245" s="26" t="s">
        <v>78</v>
      </c>
      <c r="H245" s="122">
        <v>1050000</v>
      </c>
      <c r="I245" s="123"/>
      <c r="J245" s="130" t="str">
        <f>HYPERLINK("https://drive.google.com/open?id=0B2rLR4BADrBtdldDOFRoN1IzdmM","6110")</f>
        <v>6110</v>
      </c>
      <c r="K245" s="132" t="str">
        <f>HYPERLINK("https://drive.google.com/drive/folders/0BwQ57SNHxB3BNzVuN3hRRndNODQ","6110")</f>
        <v>6110</v>
      </c>
      <c r="L245" s="125"/>
      <c r="M245" s="46"/>
      <c r="N245" s="126"/>
      <c r="O245" s="126"/>
      <c r="P245" s="126"/>
      <c r="Q245" s="126"/>
      <c r="R245" s="126"/>
      <c r="S245" s="126"/>
      <c r="T245" s="128">
        <v>15</v>
      </c>
      <c r="U245" s="128">
        <f t="shared" si="38"/>
        <v>2570</v>
      </c>
      <c r="V245" s="129" t="str">
        <f t="shared" si="27"/>
        <v>61</v>
      </c>
      <c r="W245" s="121">
        <f t="shared" si="35"/>
        <v>43</v>
      </c>
      <c r="X245" s="121"/>
      <c r="Y245" s="121"/>
      <c r="Z245" s="121"/>
      <c r="AA245" s="121"/>
    </row>
    <row r="246" spans="1:27" ht="18.75">
      <c r="A246" s="88"/>
      <c r="B246" s="121">
        <v>6115</v>
      </c>
      <c r="C246" s="121" t="s">
        <v>37</v>
      </c>
      <c r="D246" s="88" t="s">
        <v>1077</v>
      </c>
      <c r="E246" s="121">
        <v>58</v>
      </c>
      <c r="F246" s="46" t="s">
        <v>1078</v>
      </c>
      <c r="G246" s="26" t="s">
        <v>78</v>
      </c>
      <c r="H246" s="122">
        <v>260000</v>
      </c>
      <c r="I246" s="123"/>
      <c r="J246" s="130" t="str">
        <f>HYPERLINK("https://drive.google.com/open?id=0B2vBTVEfSzItYlptUWU5T0FUdnM","6115")</f>
        <v>6115</v>
      </c>
      <c r="K246" s="132" t="str">
        <f>HYPERLINK("https://drive.google.com/drive/folders/0BwN2QqBc2z4QfjhLT3VXcmMxTVZyVWNMWTc0MkJJMlU0UnB3eTljcl95NlNudVl0U21IdkU","6115")</f>
        <v>6115</v>
      </c>
      <c r="L246" s="125"/>
      <c r="M246" s="46"/>
      <c r="N246" s="126"/>
      <c r="O246" s="126"/>
      <c r="P246" s="126"/>
      <c r="Q246" s="126"/>
      <c r="R246" s="126"/>
      <c r="S246" s="126"/>
      <c r="T246" s="128" t="s">
        <v>1079</v>
      </c>
      <c r="U246" s="128">
        <f t="shared" si="38"/>
        <v>2571</v>
      </c>
      <c r="V246" s="129" t="str">
        <f t="shared" si="27"/>
        <v>61</v>
      </c>
      <c r="W246" s="121">
        <f t="shared" si="35"/>
        <v>43</v>
      </c>
      <c r="X246" s="121"/>
      <c r="Y246" s="121"/>
      <c r="Z246" s="121"/>
      <c r="AA246" s="121"/>
    </row>
    <row r="247" spans="1:27" ht="18.75">
      <c r="A247" s="88"/>
      <c r="B247" s="121">
        <v>6115</v>
      </c>
      <c r="C247" s="121" t="s">
        <v>37</v>
      </c>
      <c r="D247" s="88" t="s">
        <v>1080</v>
      </c>
      <c r="E247" s="121">
        <v>60</v>
      </c>
      <c r="F247" s="46" t="s">
        <v>782</v>
      </c>
      <c r="G247" s="26" t="s">
        <v>78</v>
      </c>
      <c r="H247" s="122">
        <v>670000</v>
      </c>
      <c r="I247" s="123"/>
      <c r="J247" s="130" t="str">
        <f>HYPERLINK("https://drive.google.com/open?id=0B2vBTVEfSzItX1JRWXNfVFlVNWM","6115")</f>
        <v>6115</v>
      </c>
      <c r="K247" s="125"/>
      <c r="L247" s="125"/>
      <c r="M247" s="151"/>
      <c r="N247" s="126"/>
      <c r="O247" s="126"/>
      <c r="P247" s="126"/>
      <c r="Q247" s="126"/>
      <c r="R247" s="126"/>
      <c r="S247" s="126"/>
      <c r="T247" s="135"/>
      <c r="U247" s="135">
        <f t="shared" si="38"/>
        <v>2558</v>
      </c>
      <c r="V247" s="129" t="str">
        <f t="shared" si="27"/>
        <v>61</v>
      </c>
      <c r="W247" s="121">
        <f t="shared" si="35"/>
        <v>43</v>
      </c>
      <c r="X247" s="121"/>
      <c r="Y247" s="121"/>
      <c r="Z247" s="121"/>
      <c r="AA247" s="121"/>
    </row>
    <row r="248" spans="1:27" ht="18.75">
      <c r="A248" s="88"/>
      <c r="B248" s="121">
        <v>6115</v>
      </c>
      <c r="C248" s="121" t="s">
        <v>37</v>
      </c>
      <c r="D248" s="88" t="s">
        <v>1083</v>
      </c>
      <c r="E248" s="121">
        <v>60</v>
      </c>
      <c r="F248" s="46" t="s">
        <v>1084</v>
      </c>
      <c r="G248" s="26" t="s">
        <v>78</v>
      </c>
      <c r="H248" s="122">
        <v>758000</v>
      </c>
      <c r="I248" s="123"/>
      <c r="J248" s="130" t="str">
        <f>HYPERLINK("https://drive.google.com/open?id=1VngUl0Ddd7G79_KUaHTTWtJTK5RpKCtQ","6115")</f>
        <v>6115</v>
      </c>
      <c r="K248" s="125"/>
      <c r="L248" s="125"/>
      <c r="M248" s="46"/>
      <c r="N248" s="126"/>
      <c r="O248" s="126"/>
      <c r="P248" s="126"/>
      <c r="Q248" s="126"/>
      <c r="R248" s="126"/>
      <c r="S248" s="126"/>
      <c r="T248" s="135"/>
      <c r="U248" s="135">
        <f t="shared" si="38"/>
        <v>2558</v>
      </c>
      <c r="V248" s="129" t="str">
        <f t="shared" si="27"/>
        <v>61</v>
      </c>
      <c r="W248" s="121">
        <f t="shared" si="35"/>
        <v>43</v>
      </c>
      <c r="X248" s="121"/>
      <c r="Y248" s="121"/>
      <c r="Z248" s="121"/>
      <c r="AA248" s="121"/>
    </row>
    <row r="249" spans="1:27" ht="18.75">
      <c r="A249" s="88"/>
      <c r="B249" s="121">
        <v>6115</v>
      </c>
      <c r="C249" s="121" t="s">
        <v>37</v>
      </c>
      <c r="D249" s="88" t="s">
        <v>1085</v>
      </c>
      <c r="E249" s="121">
        <v>54</v>
      </c>
      <c r="F249" s="46" t="s">
        <v>1086</v>
      </c>
      <c r="G249" s="26" t="s">
        <v>78</v>
      </c>
      <c r="H249" s="122">
        <v>150000</v>
      </c>
      <c r="I249" s="123"/>
      <c r="J249" s="130" t="str">
        <f>HYPERLINK("https://drive.google.com/open?id=0B2rLR4BADrBtdXhSSk1mTHZIbGs","6115")</f>
        <v>6115</v>
      </c>
      <c r="K249" s="132" t="str">
        <f t="shared" ref="K249:K257" si="39">HYPERLINK("https://drive.google.com/drive/folders/0BwN2QqBc2z4QfjhLT3VXcmMxTVZyVWNMWTc0MkJJMlU0UnB3eTljcl95NlNudVl0U21IdkU","6115")</f>
        <v>6115</v>
      </c>
      <c r="L249" s="125"/>
      <c r="M249" s="46"/>
      <c r="N249" s="126"/>
      <c r="O249" s="126"/>
      <c r="P249" s="126"/>
      <c r="Q249" s="126"/>
      <c r="R249" s="126"/>
      <c r="S249" s="126"/>
      <c r="T249" s="135">
        <v>15</v>
      </c>
      <c r="U249" s="135">
        <f t="shared" si="38"/>
        <v>2567</v>
      </c>
      <c r="V249" s="129" t="str">
        <f t="shared" si="27"/>
        <v>61</v>
      </c>
      <c r="W249" s="121">
        <f t="shared" si="35"/>
        <v>43</v>
      </c>
      <c r="X249" s="121"/>
      <c r="Y249" s="121"/>
      <c r="Z249" s="121"/>
      <c r="AA249" s="121"/>
    </row>
    <row r="250" spans="1:27" ht="18.75">
      <c r="A250" s="88"/>
      <c r="B250" s="121">
        <v>6115</v>
      </c>
      <c r="C250" s="121" t="s">
        <v>37</v>
      </c>
      <c r="D250" s="88" t="s">
        <v>1088</v>
      </c>
      <c r="E250" s="121">
        <v>57</v>
      </c>
      <c r="F250" s="46" t="s">
        <v>1089</v>
      </c>
      <c r="G250" s="26" t="s">
        <v>78</v>
      </c>
      <c r="H250" s="122">
        <v>13000</v>
      </c>
      <c r="I250" s="123"/>
      <c r="J250" s="130" t="str">
        <f>HYPERLINK("https://drive.google.com/open?id=0B2rLR4BADrBtTjlFZ19JYzdLMWc","6115")</f>
        <v>6115</v>
      </c>
      <c r="K250" s="132" t="str">
        <f t="shared" si="39"/>
        <v>6115</v>
      </c>
      <c r="L250" s="125"/>
      <c r="M250" s="46"/>
      <c r="N250" s="126"/>
      <c r="O250" s="126"/>
      <c r="P250" s="126"/>
      <c r="Q250" s="126"/>
      <c r="R250" s="126"/>
      <c r="S250" s="126"/>
      <c r="T250" s="135">
        <v>15</v>
      </c>
      <c r="U250" s="135">
        <f t="shared" si="38"/>
        <v>2570</v>
      </c>
      <c r="V250" s="129" t="str">
        <f t="shared" si="27"/>
        <v>61</v>
      </c>
      <c r="W250" s="121">
        <f t="shared" si="35"/>
        <v>43</v>
      </c>
      <c r="X250" s="121"/>
      <c r="Y250" s="121"/>
      <c r="Z250" s="121"/>
      <c r="AA250" s="121"/>
    </row>
    <row r="251" spans="1:27" ht="18.75">
      <c r="A251" s="88"/>
      <c r="B251" s="121">
        <v>6115</v>
      </c>
      <c r="C251" s="121" t="s">
        <v>37</v>
      </c>
      <c r="D251" s="88" t="s">
        <v>1090</v>
      </c>
      <c r="E251" s="121">
        <v>58</v>
      </c>
      <c r="F251" s="46" t="s">
        <v>1091</v>
      </c>
      <c r="G251" s="26" t="s">
        <v>78</v>
      </c>
      <c r="H251" s="122">
        <v>1400000</v>
      </c>
      <c r="I251" s="123"/>
      <c r="J251" s="130" t="str">
        <f>HYPERLINK("https://drive.google.com/open?id=0B2vBTVEfSzItMFRyck9kX250VUk","6115")</f>
        <v>6115</v>
      </c>
      <c r="K251" s="132" t="str">
        <f t="shared" si="39"/>
        <v>6115</v>
      </c>
      <c r="L251" s="125"/>
      <c r="M251" s="46"/>
      <c r="N251" s="126"/>
      <c r="O251" s="126"/>
      <c r="P251" s="126"/>
      <c r="Q251" s="126"/>
      <c r="R251" s="126"/>
      <c r="S251" s="126"/>
      <c r="T251" s="128">
        <v>15</v>
      </c>
      <c r="U251" s="128">
        <f t="shared" si="38"/>
        <v>2571</v>
      </c>
      <c r="V251" s="129" t="str">
        <f t="shared" si="27"/>
        <v>61</v>
      </c>
      <c r="W251" s="121">
        <f t="shared" si="35"/>
        <v>43</v>
      </c>
      <c r="X251" s="121"/>
      <c r="Y251" s="121"/>
      <c r="Z251" s="121"/>
      <c r="AA251" s="121"/>
    </row>
    <row r="252" spans="1:27" ht="37.5">
      <c r="A252" s="88"/>
      <c r="B252" s="121">
        <v>6115</v>
      </c>
      <c r="C252" s="121" t="s">
        <v>37</v>
      </c>
      <c r="D252" s="88" t="s">
        <v>1092</v>
      </c>
      <c r="E252" s="121">
        <v>58</v>
      </c>
      <c r="F252" s="46" t="s">
        <v>1093</v>
      </c>
      <c r="G252" s="26" t="s">
        <v>78</v>
      </c>
      <c r="H252" s="122" t="s">
        <v>1094</v>
      </c>
      <c r="I252" s="123"/>
      <c r="J252" s="130" t="str">
        <f>HYPERLINK("https://drive.google.com/open?id=0B2vBTVEfSzItNHc5cnc0MTdiNXc","6115")</f>
        <v>6115</v>
      </c>
      <c r="K252" s="132" t="str">
        <f t="shared" si="39"/>
        <v>6115</v>
      </c>
      <c r="L252" s="125"/>
      <c r="M252" s="46"/>
      <c r="N252" s="126"/>
      <c r="O252" s="126"/>
      <c r="P252" s="126"/>
      <c r="Q252" s="126"/>
      <c r="R252" s="126"/>
      <c r="S252" s="126"/>
      <c r="T252" s="135">
        <v>15</v>
      </c>
      <c r="U252" s="135">
        <f t="shared" si="38"/>
        <v>2571</v>
      </c>
      <c r="V252" s="129" t="str">
        <f t="shared" si="27"/>
        <v>61</v>
      </c>
      <c r="W252" s="121">
        <f t="shared" si="35"/>
        <v>43</v>
      </c>
      <c r="X252" s="121"/>
      <c r="Y252" s="121"/>
      <c r="Z252" s="121"/>
      <c r="AA252" s="121"/>
    </row>
    <row r="253" spans="1:27" ht="37.5">
      <c r="A253" s="88"/>
      <c r="B253" s="121">
        <v>6115</v>
      </c>
      <c r="C253" s="121" t="s">
        <v>37</v>
      </c>
      <c r="D253" s="88" t="s">
        <v>1095</v>
      </c>
      <c r="E253" s="121">
        <v>58</v>
      </c>
      <c r="F253" s="46" t="s">
        <v>1096</v>
      </c>
      <c r="G253" s="26" t="s">
        <v>78</v>
      </c>
      <c r="H253" s="122">
        <v>1250000</v>
      </c>
      <c r="I253" s="123"/>
      <c r="J253" s="130" t="str">
        <f>HYPERLINK("https://drive.google.com/open?id=0B2vBTVEfSzItN0hrOUdvTk80bE0","6115")</f>
        <v>6115</v>
      </c>
      <c r="K253" s="132" t="str">
        <f t="shared" si="39"/>
        <v>6115</v>
      </c>
      <c r="L253" s="125"/>
      <c r="M253" s="46"/>
      <c r="N253" s="126"/>
      <c r="O253" s="126"/>
      <c r="P253" s="126"/>
      <c r="Q253" s="126"/>
      <c r="R253" s="126"/>
      <c r="S253" s="126"/>
      <c r="T253" s="135">
        <v>15</v>
      </c>
      <c r="U253" s="135">
        <f t="shared" si="38"/>
        <v>2571</v>
      </c>
      <c r="V253" s="129" t="str">
        <f t="shared" si="27"/>
        <v>61</v>
      </c>
      <c r="W253" s="121">
        <f t="shared" si="35"/>
        <v>43</v>
      </c>
      <c r="X253" s="121"/>
      <c r="Y253" s="121"/>
      <c r="Z253" s="121"/>
      <c r="AA253" s="121"/>
    </row>
    <row r="254" spans="1:27" ht="18.75">
      <c r="A254" s="88"/>
      <c r="B254" s="121">
        <v>6115</v>
      </c>
      <c r="C254" s="121" t="s">
        <v>37</v>
      </c>
      <c r="D254" s="88" t="s">
        <v>1097</v>
      </c>
      <c r="E254" s="121">
        <v>54</v>
      </c>
      <c r="F254" s="46" t="s">
        <v>1098</v>
      </c>
      <c r="G254" s="26" t="s">
        <v>78</v>
      </c>
      <c r="H254" s="122">
        <v>385000</v>
      </c>
      <c r="I254" s="123"/>
      <c r="J254" s="130" t="str">
        <f>HYPERLINK("https://drive.google.com/open?id=0B2rLR4BADrBtVTNTQndxM3g3Vjg","6115")</f>
        <v>6115</v>
      </c>
      <c r="K254" s="132" t="str">
        <f t="shared" si="39"/>
        <v>6115</v>
      </c>
      <c r="L254" s="125"/>
      <c r="M254" s="46"/>
      <c r="N254" s="126"/>
      <c r="O254" s="126"/>
      <c r="P254" s="126"/>
      <c r="Q254" s="126"/>
      <c r="R254" s="126"/>
      <c r="S254" s="126"/>
      <c r="T254" s="128">
        <v>15</v>
      </c>
      <c r="U254" s="128">
        <f t="shared" si="38"/>
        <v>2567</v>
      </c>
      <c r="V254" s="129" t="str">
        <f t="shared" si="27"/>
        <v>61</v>
      </c>
      <c r="W254" s="121">
        <f t="shared" si="35"/>
        <v>43</v>
      </c>
      <c r="X254" s="121"/>
      <c r="Y254" s="121"/>
      <c r="Z254" s="121"/>
      <c r="AA254" s="121"/>
    </row>
    <row r="255" spans="1:27" ht="18.75">
      <c r="A255" s="88"/>
      <c r="B255" s="121">
        <v>6115</v>
      </c>
      <c r="C255" s="121" t="s">
        <v>37</v>
      </c>
      <c r="D255" s="88" t="s">
        <v>1099</v>
      </c>
      <c r="E255" s="121">
        <v>55</v>
      </c>
      <c r="F255" s="46" t="s">
        <v>1100</v>
      </c>
      <c r="G255" s="26" t="s">
        <v>78</v>
      </c>
      <c r="H255" s="122">
        <v>27500</v>
      </c>
      <c r="I255" s="123"/>
      <c r="J255" s="130" t="str">
        <f>HYPERLINK("https://drive.google.com/open?id=0B2rLR4BADrBtTVA0SVE4MUlLdlU","6115")</f>
        <v>6115</v>
      </c>
      <c r="K255" s="132" t="str">
        <f t="shared" si="39"/>
        <v>6115</v>
      </c>
      <c r="L255" s="125"/>
      <c r="M255" s="151"/>
      <c r="N255" s="126"/>
      <c r="O255" s="126"/>
      <c r="P255" s="126"/>
      <c r="Q255" s="126"/>
      <c r="R255" s="126"/>
      <c r="S255" s="126"/>
      <c r="T255" s="128">
        <v>15</v>
      </c>
      <c r="U255" s="128">
        <f t="shared" si="38"/>
        <v>2568</v>
      </c>
      <c r="V255" s="129" t="str">
        <f t="shared" si="27"/>
        <v>61</v>
      </c>
      <c r="W255" s="121">
        <f t="shared" si="35"/>
        <v>43</v>
      </c>
      <c r="X255" s="121"/>
      <c r="Y255" s="121"/>
      <c r="Z255" s="121"/>
      <c r="AA255" s="121"/>
    </row>
    <row r="256" spans="1:27" ht="18.75">
      <c r="A256" s="88"/>
      <c r="B256" s="121">
        <v>6115</v>
      </c>
      <c r="C256" s="121" t="s">
        <v>37</v>
      </c>
      <c r="D256" s="88" t="s">
        <v>1101</v>
      </c>
      <c r="E256" s="121">
        <v>53</v>
      </c>
      <c r="F256" s="46" t="s">
        <v>1102</v>
      </c>
      <c r="G256" s="26" t="s">
        <v>78</v>
      </c>
      <c r="H256" s="122">
        <v>2370000</v>
      </c>
      <c r="I256" s="123"/>
      <c r="J256" s="130" t="str">
        <f>HYPERLINK("https://drive.google.com/drive/folders/0BwQ57SNHxB3BMnZ3Z2JUXzJNa1k","6115")</f>
        <v>6115</v>
      </c>
      <c r="K256" s="132" t="str">
        <f t="shared" si="39"/>
        <v>6115</v>
      </c>
      <c r="L256" s="125"/>
      <c r="M256" s="46"/>
      <c r="N256" s="126"/>
      <c r="O256" s="126"/>
      <c r="P256" s="126"/>
      <c r="Q256" s="126"/>
      <c r="R256" s="126"/>
      <c r="S256" s="126"/>
      <c r="T256" s="135">
        <v>15</v>
      </c>
      <c r="U256" s="135">
        <f t="shared" si="38"/>
        <v>2566</v>
      </c>
      <c r="V256" s="129" t="str">
        <f t="shared" si="27"/>
        <v>61</v>
      </c>
      <c r="W256" s="121">
        <f t="shared" si="35"/>
        <v>43</v>
      </c>
      <c r="X256" s="121"/>
      <c r="Y256" s="121"/>
      <c r="Z256" s="121"/>
      <c r="AA256" s="121"/>
    </row>
    <row r="257" spans="1:27" ht="18.75">
      <c r="A257" s="88"/>
      <c r="B257" s="121">
        <v>6115</v>
      </c>
      <c r="C257" s="121" t="s">
        <v>37</v>
      </c>
      <c r="D257" s="88" t="s">
        <v>1103</v>
      </c>
      <c r="E257" s="121">
        <v>53</v>
      </c>
      <c r="F257" s="46" t="s">
        <v>1104</v>
      </c>
      <c r="G257" s="26" t="s">
        <v>78</v>
      </c>
      <c r="H257" s="122">
        <v>3350000</v>
      </c>
      <c r="I257" s="123"/>
      <c r="J257" s="130" t="str">
        <f>HYPERLINK("https://drive.google.com/open?id=0B2rLR4BADrBtX2JCZmtRdV9NbEE","6115")</f>
        <v>6115</v>
      </c>
      <c r="K257" s="132" t="str">
        <f t="shared" si="39"/>
        <v>6115</v>
      </c>
      <c r="L257" s="125"/>
      <c r="M257" s="151"/>
      <c r="N257" s="126"/>
      <c r="O257" s="126"/>
      <c r="P257" s="126"/>
      <c r="Q257" s="126"/>
      <c r="R257" s="126"/>
      <c r="S257" s="126"/>
      <c r="T257" s="135">
        <v>15</v>
      </c>
      <c r="U257" s="135">
        <f t="shared" si="38"/>
        <v>2566</v>
      </c>
      <c r="V257" s="129" t="str">
        <f t="shared" si="27"/>
        <v>61</v>
      </c>
      <c r="W257" s="121">
        <f t="shared" si="35"/>
        <v>43</v>
      </c>
      <c r="X257" s="121"/>
      <c r="Y257" s="121"/>
      <c r="Z257" s="121"/>
      <c r="AA257" s="121"/>
    </row>
    <row r="258" spans="1:27" ht="18.75">
      <c r="A258" s="88"/>
      <c r="B258" s="121">
        <v>6115</v>
      </c>
      <c r="C258" s="121" t="s">
        <v>37</v>
      </c>
      <c r="D258" s="88" t="s">
        <v>1107</v>
      </c>
      <c r="E258" s="121">
        <v>61</v>
      </c>
      <c r="F258" s="46" t="s">
        <v>787</v>
      </c>
      <c r="G258" s="26" t="s">
        <v>78</v>
      </c>
      <c r="H258" s="122">
        <v>57500</v>
      </c>
      <c r="I258" s="123"/>
      <c r="J258" s="130" t="str">
        <f>HYPERLINK("https://drive.google.com/open?id=1sjSv_rM89aFStD85knj0Ogx3yYHNTs8z","6115")</f>
        <v>6115</v>
      </c>
      <c r="K258" s="125"/>
      <c r="L258" s="125"/>
      <c r="M258" s="151"/>
      <c r="N258" s="126"/>
      <c r="O258" s="126"/>
      <c r="P258" s="126"/>
      <c r="Q258" s="126"/>
      <c r="R258" s="126"/>
      <c r="S258" s="126"/>
      <c r="T258" s="135"/>
      <c r="U258" s="128"/>
      <c r="V258" s="129" t="str">
        <f t="shared" si="27"/>
        <v>61</v>
      </c>
      <c r="W258" s="121">
        <f t="shared" si="35"/>
        <v>43</v>
      </c>
      <c r="X258" s="121"/>
      <c r="Y258" s="121"/>
      <c r="Z258" s="121"/>
      <c r="AA258" s="121"/>
    </row>
    <row r="259" spans="1:27" ht="18.75">
      <c r="A259" s="88"/>
      <c r="B259" s="121">
        <v>6115</v>
      </c>
      <c r="C259" s="121" t="s">
        <v>37</v>
      </c>
      <c r="D259" s="88" t="s">
        <v>1108</v>
      </c>
      <c r="E259" s="121">
        <v>59</v>
      </c>
      <c r="F259" s="46" t="s">
        <v>1109</v>
      </c>
      <c r="G259" s="26" t="s">
        <v>78</v>
      </c>
      <c r="H259" s="122">
        <v>8000000</v>
      </c>
      <c r="I259" s="123"/>
      <c r="J259" s="130" t="str">
        <f>HYPERLINK("https://drive.google.com/open?id=0B2vBTVEfSzItVDVzcWp3VWFIYkE","6115")</f>
        <v>6115</v>
      </c>
      <c r="K259" s="125"/>
      <c r="L259" s="125"/>
      <c r="M259" s="46"/>
      <c r="N259" s="126"/>
      <c r="O259" s="126"/>
      <c r="P259" s="126"/>
      <c r="Q259" s="126"/>
      <c r="R259" s="126"/>
      <c r="S259" s="126"/>
      <c r="T259" s="135"/>
      <c r="U259" s="135">
        <f>E259+T259-2+2500</f>
        <v>2557</v>
      </c>
      <c r="V259" s="129" t="str">
        <f t="shared" si="27"/>
        <v>61</v>
      </c>
      <c r="W259" s="121">
        <f t="shared" si="35"/>
        <v>43</v>
      </c>
      <c r="X259" s="121"/>
      <c r="Y259" s="121"/>
      <c r="Z259" s="121"/>
      <c r="AA259" s="121"/>
    </row>
    <row r="260" spans="1:27" ht="18.75">
      <c r="A260" s="88"/>
      <c r="B260" s="121">
        <v>6115</v>
      </c>
      <c r="C260" s="121" t="s">
        <v>37</v>
      </c>
      <c r="D260" s="88" t="s">
        <v>1115</v>
      </c>
      <c r="E260" s="121">
        <v>60</v>
      </c>
      <c r="F260" s="46" t="s">
        <v>1116</v>
      </c>
      <c r="G260" s="26" t="s">
        <v>78</v>
      </c>
      <c r="H260" s="122">
        <v>20000</v>
      </c>
      <c r="I260" s="123"/>
      <c r="J260" s="130" t="str">
        <f>HYPERLINK("https://drive.google.com/open?id=0B2vBTVEfSzIteXdkcDAtM2NQVlE","6115")</f>
        <v>6115</v>
      </c>
      <c r="K260" s="125"/>
      <c r="L260" s="125"/>
      <c r="M260" s="46"/>
      <c r="N260" s="126"/>
      <c r="O260" s="126"/>
      <c r="P260" s="126"/>
      <c r="Q260" s="126"/>
      <c r="R260" s="126"/>
      <c r="S260" s="126"/>
      <c r="T260" s="135"/>
      <c r="U260" s="135">
        <f>E260+T260-2+2500</f>
        <v>2558</v>
      </c>
      <c r="V260" s="129" t="str">
        <f t="shared" si="27"/>
        <v>61</v>
      </c>
      <c r="W260" s="121">
        <f t="shared" si="35"/>
        <v>43</v>
      </c>
      <c r="X260" s="121"/>
      <c r="Y260" s="121"/>
      <c r="Z260" s="121"/>
      <c r="AA260" s="121"/>
    </row>
    <row r="261" spans="1:27" ht="27.75" customHeight="1">
      <c r="A261" s="88"/>
      <c r="B261" s="121">
        <v>6125</v>
      </c>
      <c r="C261" s="121" t="s">
        <v>372</v>
      </c>
      <c r="D261" s="88" t="s">
        <v>1120</v>
      </c>
      <c r="E261" s="121">
        <v>54</v>
      </c>
      <c r="F261" s="46" t="s">
        <v>1121</v>
      </c>
      <c r="G261" s="26" t="s">
        <v>78</v>
      </c>
      <c r="H261" s="122">
        <v>125000</v>
      </c>
      <c r="I261" s="123"/>
      <c r="J261" s="130" t="str">
        <f>HYPERLINK("https://drive.google.com/open?id=0B2rLR4BADrBtM3hnWDNRVk5wQ0E","6125")</f>
        <v>6125</v>
      </c>
      <c r="K261" s="132" t="str">
        <f>HYPERLINK("https://drive.google.com/drive/folders/0BwQ57SNHxB3BVDB0aGhIWjRoS0k","6125")</f>
        <v>6125</v>
      </c>
      <c r="L261" s="88">
        <v>6125356815196</v>
      </c>
      <c r="M261" s="46"/>
      <c r="N261" s="126"/>
      <c r="O261" s="126"/>
      <c r="P261" s="126"/>
      <c r="Q261" s="126"/>
      <c r="R261" s="126"/>
      <c r="S261" s="126"/>
      <c r="T261" s="135">
        <v>15</v>
      </c>
      <c r="U261" s="135">
        <f>E261+T261-2+2500</f>
        <v>2567</v>
      </c>
      <c r="V261" s="129" t="str">
        <f t="shared" si="27"/>
        <v>61</v>
      </c>
      <c r="W261" s="121">
        <f t="shared" si="35"/>
        <v>43</v>
      </c>
      <c r="X261" s="121" t="s">
        <v>548</v>
      </c>
      <c r="Y261" s="121"/>
      <c r="Z261" s="121"/>
      <c r="AA261" s="121"/>
    </row>
    <row r="262" spans="1:27" ht="18.75">
      <c r="A262" s="88"/>
      <c r="B262" s="121">
        <v>6125</v>
      </c>
      <c r="C262" s="121" t="s">
        <v>372</v>
      </c>
      <c r="D262" s="88" t="s">
        <v>1125</v>
      </c>
      <c r="E262" s="121">
        <v>54</v>
      </c>
      <c r="F262" s="46" t="s">
        <v>1126</v>
      </c>
      <c r="G262" s="26" t="s">
        <v>78</v>
      </c>
      <c r="H262" s="122">
        <v>72000</v>
      </c>
      <c r="I262" s="123"/>
      <c r="J262" s="130" t="str">
        <f>HYPERLINK("https://drive.google.com/open?id=0B2rLR4BADrBtZ0E0aVhfa2NvQlE","6125")</f>
        <v>6125</v>
      </c>
      <c r="K262" s="132" t="str">
        <f>HYPERLINK("https://drive.google.com/drive/folders/0BwQ57SNHxB3BVDB0aGhIWjRoS0k","6125")</f>
        <v>6125</v>
      </c>
      <c r="L262" s="125"/>
      <c r="M262" s="46"/>
      <c r="N262" s="126"/>
      <c r="O262" s="126"/>
      <c r="P262" s="126"/>
      <c r="Q262" s="126"/>
      <c r="R262" s="126"/>
      <c r="S262" s="126"/>
      <c r="T262" s="135">
        <v>15</v>
      </c>
      <c r="U262" s="135">
        <f>E262+T262-2+2500</f>
        <v>2567</v>
      </c>
      <c r="V262" s="129" t="str">
        <f t="shared" si="27"/>
        <v>61</v>
      </c>
      <c r="W262" s="121">
        <f t="shared" si="35"/>
        <v>43</v>
      </c>
      <c r="X262" s="121" t="s">
        <v>548</v>
      </c>
      <c r="Y262" s="121"/>
      <c r="Z262" s="121"/>
      <c r="AA262" s="121"/>
    </row>
    <row r="263" spans="1:27" ht="18.75">
      <c r="A263" s="88"/>
      <c r="B263" s="121">
        <v>6125</v>
      </c>
      <c r="C263" s="121" t="s">
        <v>37</v>
      </c>
      <c r="D263" s="88" t="s">
        <v>1127</v>
      </c>
      <c r="E263" s="121">
        <v>61</v>
      </c>
      <c r="F263" s="46" t="s">
        <v>1128</v>
      </c>
      <c r="G263" s="26" t="s">
        <v>78</v>
      </c>
      <c r="H263" s="122">
        <v>1150000</v>
      </c>
      <c r="I263" s="123"/>
      <c r="J263" s="130" t="str">
        <f>HYPERLINK("https://drive.google.com/open?id=1zYLo7flu51YN1-LYzpYM07estDH2q7mO","6125")</f>
        <v>6125</v>
      </c>
      <c r="K263" s="152"/>
      <c r="L263" s="152"/>
      <c r="M263" s="46"/>
      <c r="N263" s="126"/>
      <c r="O263" s="126"/>
      <c r="P263" s="126"/>
      <c r="Q263" s="126"/>
      <c r="R263" s="126"/>
      <c r="S263" s="126"/>
      <c r="T263" s="128"/>
      <c r="U263" s="128"/>
      <c r="V263" s="129" t="str">
        <f t="shared" si="27"/>
        <v>61</v>
      </c>
      <c r="W263" s="121">
        <f t="shared" si="35"/>
        <v>43</v>
      </c>
      <c r="X263" s="121"/>
      <c r="Y263" s="121"/>
      <c r="Z263" s="121"/>
      <c r="AA263" s="121"/>
    </row>
    <row r="264" spans="1:27" ht="18.75">
      <c r="A264" s="88"/>
      <c r="B264" s="121">
        <v>6125</v>
      </c>
      <c r="C264" s="121" t="s">
        <v>37</v>
      </c>
      <c r="D264" s="88" t="s">
        <v>1129</v>
      </c>
      <c r="E264" s="121">
        <v>61</v>
      </c>
      <c r="F264" s="46" t="s">
        <v>1130</v>
      </c>
      <c r="G264" s="26" t="s">
        <v>78</v>
      </c>
      <c r="H264" s="122">
        <v>850000</v>
      </c>
      <c r="I264" s="123"/>
      <c r="J264" s="130" t="str">
        <f>HYPERLINK("https://drive.google.com/open?id=1WMMwbN5x_Rl7g4pN8yc-c15EKmNEwQiK","6125")</f>
        <v>6125</v>
      </c>
      <c r="K264" s="152"/>
      <c r="L264" s="152"/>
      <c r="M264" s="46"/>
      <c r="N264" s="126"/>
      <c r="O264" s="126"/>
      <c r="P264" s="126"/>
      <c r="Q264" s="126"/>
      <c r="R264" s="126"/>
      <c r="S264" s="126"/>
      <c r="T264" s="128"/>
      <c r="U264" s="128"/>
      <c r="V264" s="129" t="str">
        <f t="shared" si="27"/>
        <v>61</v>
      </c>
      <c r="W264" s="121">
        <f t="shared" si="35"/>
        <v>43</v>
      </c>
      <c r="X264" s="121"/>
      <c r="Y264" s="121"/>
      <c r="Z264" s="121"/>
      <c r="AA264" s="121"/>
    </row>
    <row r="265" spans="1:27" ht="18.75">
      <c r="A265" s="88"/>
      <c r="B265" s="121">
        <v>6125</v>
      </c>
      <c r="C265" s="121" t="s">
        <v>372</v>
      </c>
      <c r="D265" s="88" t="s">
        <v>1131</v>
      </c>
      <c r="E265" s="121">
        <v>53</v>
      </c>
      <c r="F265" s="46" t="s">
        <v>1132</v>
      </c>
      <c r="G265" s="26" t="s">
        <v>78</v>
      </c>
      <c r="H265" s="122">
        <v>250000</v>
      </c>
      <c r="I265" s="123"/>
      <c r="J265" s="130" t="str">
        <f>HYPERLINK("https://drive.google.com/open?id=0B2rLR4BADrBtRy1FX2RoUnVUR0k","6125")</f>
        <v>6125</v>
      </c>
      <c r="K265" s="132" t="str">
        <f>HYPERLINK("https://drive.google.com/drive/folders/0BwQ57SNHxB3BVDB0aGhIWjRoS0k","6125")</f>
        <v>6125</v>
      </c>
      <c r="L265" s="88">
        <v>6125356815198</v>
      </c>
      <c r="M265" s="46"/>
      <c r="N265" s="126"/>
      <c r="O265" s="126"/>
      <c r="P265" s="126"/>
      <c r="Q265" s="126"/>
      <c r="R265" s="126"/>
      <c r="S265" s="126"/>
      <c r="T265" s="135">
        <v>15</v>
      </c>
      <c r="U265" s="135">
        <f t="shared" ref="U265:U275" si="40">E265+T265-2+2500</f>
        <v>2566</v>
      </c>
      <c r="V265" s="129" t="str">
        <f t="shared" si="27"/>
        <v>61</v>
      </c>
      <c r="W265" s="121">
        <f>COUNTIF('สำเนาของ 52-62 (สำหรับ จก.ตรวจเ'!$V$4:$V$286,V265)-1</f>
        <v>43</v>
      </c>
      <c r="X265" s="121" t="s">
        <v>548</v>
      </c>
      <c r="Y265" s="121"/>
      <c r="Z265" s="121"/>
      <c r="AA265" s="121"/>
    </row>
    <row r="266" spans="1:27" ht="18.75">
      <c r="A266" s="88"/>
      <c r="B266" s="121">
        <v>6125</v>
      </c>
      <c r="C266" s="121" t="s">
        <v>372</v>
      </c>
      <c r="D266" s="88" t="s">
        <v>1133</v>
      </c>
      <c r="E266" s="121">
        <v>53</v>
      </c>
      <c r="F266" s="46" t="s">
        <v>1134</v>
      </c>
      <c r="G266" s="26" t="s">
        <v>78</v>
      </c>
      <c r="H266" s="122">
        <v>80000</v>
      </c>
      <c r="I266" s="123"/>
      <c r="J266" s="130" t="str">
        <f>HYPERLINK("https://drive.google.com/open?id=0B2rLR4BADrBtWGJ6cnB1V1N3Njg","6125")</f>
        <v>6125</v>
      </c>
      <c r="K266" s="132" t="str">
        <f>HYPERLINK("https://drive.google.com/drive/folders/0BwQ57SNHxB3BVDB0aGhIWjRoS0k","6125")</f>
        <v>6125</v>
      </c>
      <c r="L266" s="125"/>
      <c r="M266" s="46"/>
      <c r="N266" s="126"/>
      <c r="O266" s="126"/>
      <c r="P266" s="126"/>
      <c r="Q266" s="126"/>
      <c r="R266" s="126"/>
      <c r="S266" s="126"/>
      <c r="T266" s="135">
        <v>15</v>
      </c>
      <c r="U266" s="135">
        <f t="shared" si="40"/>
        <v>2566</v>
      </c>
      <c r="V266" s="129" t="str">
        <f t="shared" si="27"/>
        <v>61</v>
      </c>
      <c r="W266" s="121">
        <f>COUNTIF('สำเนาของ 52-62 (สำหรับ จก.ตรวจเ'!$V$4:$V$286,V266)-1</f>
        <v>43</v>
      </c>
      <c r="X266" s="121" t="s">
        <v>548</v>
      </c>
      <c r="Y266" s="121"/>
      <c r="Z266" s="121"/>
      <c r="AA266" s="121"/>
    </row>
    <row r="267" spans="1:27" ht="18.75">
      <c r="A267" s="88"/>
      <c r="B267" s="121">
        <v>6125</v>
      </c>
      <c r="C267" s="121" t="s">
        <v>37</v>
      </c>
      <c r="D267" s="88" t="s">
        <v>1135</v>
      </c>
      <c r="E267" s="121">
        <v>55</v>
      </c>
      <c r="F267" s="46" t="s">
        <v>1136</v>
      </c>
      <c r="G267" s="26" t="s">
        <v>78</v>
      </c>
      <c r="H267" s="122">
        <v>1800000</v>
      </c>
      <c r="I267" s="123"/>
      <c r="J267" s="130" t="str">
        <f>HYPERLINK("https://drive.google.com/open?id=0B2rLR4BADrBtLWtPdURPZzl5c0k","6125")</f>
        <v>6125</v>
      </c>
      <c r="K267" s="132" t="str">
        <f>HYPERLINK("https://drive.google.com/drive/folders/0BwQ57SNHxB3BVDB0aGhIWjRoS0k","6125")</f>
        <v>6125</v>
      </c>
      <c r="L267" s="125"/>
      <c r="M267" s="46"/>
      <c r="N267" s="126"/>
      <c r="O267" s="126"/>
      <c r="P267" s="126"/>
      <c r="Q267" s="126"/>
      <c r="R267" s="126"/>
      <c r="S267" s="126"/>
      <c r="T267" s="135">
        <v>15</v>
      </c>
      <c r="U267" s="135">
        <f t="shared" si="40"/>
        <v>2568</v>
      </c>
      <c r="V267" s="129" t="str">
        <f t="shared" si="27"/>
        <v>61</v>
      </c>
      <c r="W267" s="121">
        <f>COUNTIF('สำเนาของ 52-62 (สำหรับ จก.ตรวจเ'!$V$4:$V$286,V267)-1</f>
        <v>43</v>
      </c>
      <c r="X267" s="121"/>
      <c r="Y267" s="121"/>
      <c r="Z267" s="121"/>
      <c r="AA267" s="121"/>
    </row>
    <row r="268" spans="1:27" ht="18.75">
      <c r="A268" s="88"/>
      <c r="B268" s="121">
        <v>6125</v>
      </c>
      <c r="C268" s="121" t="s">
        <v>37</v>
      </c>
      <c r="D268" s="88" t="s">
        <v>1137</v>
      </c>
      <c r="E268" s="121">
        <v>55</v>
      </c>
      <c r="F268" s="46" t="s">
        <v>1138</v>
      </c>
      <c r="G268" s="26" t="s">
        <v>78</v>
      </c>
      <c r="H268" s="122">
        <v>2500000</v>
      </c>
      <c r="I268" s="123"/>
      <c r="J268" s="130" t="str">
        <f>HYPERLINK("https://drive.google.com/open?id=0B2rLR4BADrBtZE8zUEh5SGFQelU","6125")</f>
        <v>6125</v>
      </c>
      <c r="K268" s="132" t="str">
        <f>HYPERLINK("https://drive.google.com/drive/folders/0BwQ57SNHxB3BVDB0aGhIWjRoS0k","6125")</f>
        <v>6125</v>
      </c>
      <c r="L268" s="125"/>
      <c r="M268" s="46"/>
      <c r="N268" s="126"/>
      <c r="O268" s="126"/>
      <c r="P268" s="126"/>
      <c r="Q268" s="126"/>
      <c r="R268" s="126"/>
      <c r="S268" s="126"/>
      <c r="T268" s="135">
        <v>15</v>
      </c>
      <c r="U268" s="135">
        <f t="shared" si="40"/>
        <v>2568</v>
      </c>
      <c r="V268" s="129" t="str">
        <f t="shared" si="27"/>
        <v>61</v>
      </c>
      <c r="W268" s="121">
        <f>COUNTIF('สำเนาของ 52-62 (สำหรับ จก.ตรวจเ'!$V$4:$V$286,V268)-1</f>
        <v>43</v>
      </c>
      <c r="X268" s="121"/>
      <c r="Y268" s="121"/>
      <c r="Z268" s="121"/>
      <c r="AA268" s="121"/>
    </row>
    <row r="269" spans="1:27" ht="18.75">
      <c r="A269" s="88"/>
      <c r="B269" s="121">
        <v>6130</v>
      </c>
      <c r="C269" s="121" t="s">
        <v>157</v>
      </c>
      <c r="D269" s="88" t="s">
        <v>1139</v>
      </c>
      <c r="E269" s="121">
        <v>56</v>
      </c>
      <c r="F269" s="46" t="s">
        <v>1140</v>
      </c>
      <c r="G269" s="26" t="s">
        <v>78</v>
      </c>
      <c r="H269" s="122">
        <v>9500</v>
      </c>
      <c r="I269" s="123"/>
      <c r="J269" s="130" t="str">
        <f>HYPERLINK("https://drive.google.com/open?id=0B2rLR4BADrBtTmtHYzZKNGlxNEU","6130")</f>
        <v>6130</v>
      </c>
      <c r="K269" s="132" t="str">
        <f>HYPERLINK("https://drive.google.com/drive/folders/0BwQ57SNHxB3BeU9ELXF2RTVjQ28","6130")</f>
        <v>6130</v>
      </c>
      <c r="L269" s="125"/>
      <c r="M269" s="46"/>
      <c r="N269" s="126"/>
      <c r="O269" s="126"/>
      <c r="P269" s="126"/>
      <c r="Q269" s="126"/>
      <c r="R269" s="126"/>
      <c r="S269" s="126"/>
      <c r="T269" s="128">
        <v>15</v>
      </c>
      <c r="U269" s="128">
        <f t="shared" si="40"/>
        <v>2569</v>
      </c>
      <c r="V269" s="129" t="str">
        <f t="shared" si="27"/>
        <v>61</v>
      </c>
      <c r="W269" s="121">
        <f t="shared" ref="W269:W275" si="41">COUNTIF($V$4:$V$286,V269)-1</f>
        <v>43</v>
      </c>
      <c r="X269" s="121"/>
      <c r="Y269" s="121"/>
      <c r="Z269" s="121"/>
      <c r="AA269" s="121"/>
    </row>
    <row r="270" spans="1:27" ht="18.75">
      <c r="A270" s="88"/>
      <c r="B270" s="121">
        <v>6130</v>
      </c>
      <c r="C270" s="121" t="s">
        <v>157</v>
      </c>
      <c r="D270" s="88" t="s">
        <v>1141</v>
      </c>
      <c r="E270" s="121">
        <v>54</v>
      </c>
      <c r="F270" s="46" t="s">
        <v>1142</v>
      </c>
      <c r="G270" s="26" t="s">
        <v>78</v>
      </c>
      <c r="H270" s="122">
        <v>12500</v>
      </c>
      <c r="I270" s="123"/>
      <c r="J270" s="130" t="str">
        <f>HYPERLINK("https://drive.google.com/open?id=0B2rLR4BADrBtM19JTWJQb3pUU0k","6130")</f>
        <v>6130</v>
      </c>
      <c r="K270" s="132" t="str">
        <f>HYPERLINK("https://drive.google.com/drive/folders/0BwQ57SNHxB3BeU9ELXF2RTVjQ28","6130")</f>
        <v>6130</v>
      </c>
      <c r="L270" s="125"/>
      <c r="M270" s="46"/>
      <c r="N270" s="126"/>
      <c r="O270" s="126"/>
      <c r="P270" s="126"/>
      <c r="Q270" s="126"/>
      <c r="R270" s="126"/>
      <c r="S270" s="126"/>
      <c r="T270" s="128">
        <v>15</v>
      </c>
      <c r="U270" s="128">
        <f t="shared" si="40"/>
        <v>2567</v>
      </c>
      <c r="V270" s="129" t="str">
        <f t="shared" si="27"/>
        <v>61</v>
      </c>
      <c r="W270" s="121">
        <f t="shared" si="41"/>
        <v>43</v>
      </c>
      <c r="X270" s="121"/>
      <c r="Y270" s="121"/>
      <c r="Z270" s="121"/>
      <c r="AA270" s="121"/>
    </row>
    <row r="271" spans="1:27" ht="18.75">
      <c r="A271" s="88"/>
      <c r="B271" s="121">
        <v>6130</v>
      </c>
      <c r="C271" s="121" t="s">
        <v>372</v>
      </c>
      <c r="D271" s="88" t="s">
        <v>1143</v>
      </c>
      <c r="E271" s="121">
        <v>56</v>
      </c>
      <c r="F271" s="46" t="s">
        <v>1144</v>
      </c>
      <c r="G271" s="26" t="s">
        <v>78</v>
      </c>
      <c r="H271" s="122">
        <v>27200</v>
      </c>
      <c r="I271" s="123"/>
      <c r="J271" s="130" t="str">
        <f>HYPERLINK("https://drive.google.com/open?id=0B2rLR4BADrBtbEFFdlZ5Njd3Umc","6130")</f>
        <v>6130</v>
      </c>
      <c r="K271" s="132" t="str">
        <f>HYPERLINK("https://drive.google.com/drive/folders/0BwQ57SNHxB3BeU9ELXF2RTVjQ28","6130")</f>
        <v>6130</v>
      </c>
      <c r="L271" s="125"/>
      <c r="M271" s="46"/>
      <c r="N271" s="126"/>
      <c r="O271" s="126"/>
      <c r="P271" s="126"/>
      <c r="Q271" s="126"/>
      <c r="R271" s="126"/>
      <c r="S271" s="126"/>
      <c r="T271" s="135">
        <v>15</v>
      </c>
      <c r="U271" s="135">
        <f t="shared" si="40"/>
        <v>2569</v>
      </c>
      <c r="V271" s="129" t="str">
        <f t="shared" si="27"/>
        <v>61</v>
      </c>
      <c r="W271" s="121">
        <f t="shared" si="41"/>
        <v>43</v>
      </c>
      <c r="X271" s="121" t="s">
        <v>548</v>
      </c>
      <c r="Y271" s="121"/>
      <c r="Z271" s="121"/>
      <c r="AA271" s="121"/>
    </row>
    <row r="272" spans="1:27" ht="18.75">
      <c r="A272" s="88"/>
      <c r="B272" s="121">
        <v>6130</v>
      </c>
      <c r="C272" s="121" t="s">
        <v>372</v>
      </c>
      <c r="D272" s="88" t="s">
        <v>1145</v>
      </c>
      <c r="E272" s="121">
        <v>56</v>
      </c>
      <c r="F272" s="46" t="s">
        <v>1146</v>
      </c>
      <c r="G272" s="26" t="s">
        <v>78</v>
      </c>
      <c r="H272" s="122">
        <v>13500</v>
      </c>
      <c r="I272" s="123"/>
      <c r="J272" s="130" t="str">
        <f>HYPERLINK("https://drive.google.com/open?id=0B2rLR4BADrBtQlllUElrT1k1Q0k","6130")</f>
        <v>6130</v>
      </c>
      <c r="K272" s="132" t="str">
        <f>HYPERLINK("https://drive.google.com/drive/folders/0BwQ57SNHxB3BeU9ELXF2RTVjQ28","6130")</f>
        <v>6130</v>
      </c>
      <c r="L272" s="125"/>
      <c r="M272" s="46"/>
      <c r="N272" s="126"/>
      <c r="O272" s="126"/>
      <c r="P272" s="126"/>
      <c r="Q272" s="126"/>
      <c r="R272" s="126"/>
      <c r="S272" s="126"/>
      <c r="T272" s="135">
        <v>15</v>
      </c>
      <c r="U272" s="135">
        <f t="shared" si="40"/>
        <v>2569</v>
      </c>
      <c r="V272" s="129" t="str">
        <f t="shared" si="27"/>
        <v>61</v>
      </c>
      <c r="W272" s="121">
        <f t="shared" si="41"/>
        <v>43</v>
      </c>
      <c r="X272" s="121" t="s">
        <v>548</v>
      </c>
      <c r="Y272" s="121"/>
      <c r="Z272" s="121"/>
      <c r="AA272" s="121"/>
    </row>
    <row r="273" spans="1:27" ht="18.75">
      <c r="A273" s="88"/>
      <c r="B273" s="121">
        <v>6150</v>
      </c>
      <c r="C273" s="121" t="s">
        <v>37</v>
      </c>
      <c r="D273" s="88" t="s">
        <v>1147</v>
      </c>
      <c r="E273" s="121">
        <v>58</v>
      </c>
      <c r="F273" s="46" t="s">
        <v>1148</v>
      </c>
      <c r="G273" s="26" t="s">
        <v>53</v>
      </c>
      <c r="H273" s="122"/>
      <c r="I273" s="123"/>
      <c r="J273" s="130" t="str">
        <f>HYPERLINK("https://drive.google.com/open?id=0B2vBTVEfSzItTVEtN3BQZURfX3M","6150")</f>
        <v>6150</v>
      </c>
      <c r="K273" s="132" t="str">
        <f>HYPERLINK("https://drive.google.com/drive/folders/0BwQ57SNHxB3BdWdCcVYwZUJvY3c","6150")</f>
        <v>6150</v>
      </c>
      <c r="L273" s="125"/>
      <c r="M273" s="46"/>
      <c r="N273" s="126"/>
      <c r="O273" s="126"/>
      <c r="P273" s="126"/>
      <c r="Q273" s="126"/>
      <c r="R273" s="126"/>
      <c r="S273" s="126"/>
      <c r="T273" s="128">
        <v>15</v>
      </c>
      <c r="U273" s="128">
        <f t="shared" si="40"/>
        <v>2571</v>
      </c>
      <c r="V273" s="129" t="str">
        <f t="shared" si="27"/>
        <v>61</v>
      </c>
      <c r="W273" s="121">
        <f t="shared" si="41"/>
        <v>43</v>
      </c>
      <c r="X273" s="121"/>
      <c r="Y273" s="121"/>
      <c r="Z273" s="121"/>
      <c r="AA273" s="121"/>
    </row>
    <row r="274" spans="1:27" ht="18.75">
      <c r="A274" s="88"/>
      <c r="B274" s="121">
        <v>6150</v>
      </c>
      <c r="C274" s="121" t="s">
        <v>37</v>
      </c>
      <c r="D274" s="88" t="s">
        <v>1149</v>
      </c>
      <c r="E274" s="121">
        <v>58</v>
      </c>
      <c r="F274" s="46" t="s">
        <v>1150</v>
      </c>
      <c r="G274" s="26" t="s">
        <v>53</v>
      </c>
      <c r="H274" s="122">
        <v>390000</v>
      </c>
      <c r="I274" s="123"/>
      <c r="J274" s="130" t="str">
        <f>HYPERLINK("https://drive.google.com/open?id=0B2vBTVEfSzItbWgxal9hRzROVWM","6150")</f>
        <v>6150</v>
      </c>
      <c r="K274" s="132" t="str">
        <f>HYPERLINK("https://drive.google.com/drive/folders/0BwQ57SNHxB3BdWdCcVYwZUJvY3c","6150")</f>
        <v>6150</v>
      </c>
      <c r="L274" s="125"/>
      <c r="M274" s="46"/>
      <c r="N274" s="126"/>
      <c r="O274" s="126"/>
      <c r="P274" s="126"/>
      <c r="Q274" s="126"/>
      <c r="R274" s="126"/>
      <c r="S274" s="126"/>
      <c r="T274" s="128">
        <v>15</v>
      </c>
      <c r="U274" s="128">
        <f t="shared" si="40"/>
        <v>2571</v>
      </c>
      <c r="V274" s="129" t="str">
        <f t="shared" si="27"/>
        <v>61</v>
      </c>
      <c r="W274" s="121">
        <f t="shared" si="41"/>
        <v>43</v>
      </c>
      <c r="X274" s="121"/>
      <c r="Y274" s="121"/>
      <c r="Z274" s="121"/>
      <c r="AA274" s="121"/>
    </row>
    <row r="275" spans="1:27" ht="18.75">
      <c r="A275" s="88"/>
      <c r="B275" s="121">
        <v>6150</v>
      </c>
      <c r="C275" s="121" t="s">
        <v>37</v>
      </c>
      <c r="D275" s="88" t="s">
        <v>1151</v>
      </c>
      <c r="E275" s="121">
        <v>55</v>
      </c>
      <c r="F275" s="46" t="s">
        <v>1152</v>
      </c>
      <c r="G275" s="26" t="s">
        <v>78</v>
      </c>
      <c r="H275" s="122">
        <v>38000</v>
      </c>
      <c r="I275" s="123"/>
      <c r="J275" s="130" t="str">
        <f>HYPERLINK("https://drive.google.com/open?id=0B2rLR4BADrBtc2ZmSVZQUHBNNFU","6150")</f>
        <v>6150</v>
      </c>
      <c r="K275" s="132" t="str">
        <f>HYPERLINK("https://drive.google.com/drive/folders/0BwQ57SNHxB3BdWdCcVYwZUJvY3c","6150")</f>
        <v>6150</v>
      </c>
      <c r="L275" s="125"/>
      <c r="M275" s="46"/>
      <c r="N275" s="126"/>
      <c r="O275" s="126"/>
      <c r="P275" s="126"/>
      <c r="Q275" s="126"/>
      <c r="R275" s="126"/>
      <c r="S275" s="126"/>
      <c r="T275" s="128">
        <v>15</v>
      </c>
      <c r="U275" s="128">
        <f t="shared" si="40"/>
        <v>2568</v>
      </c>
      <c r="V275" s="129" t="str">
        <f t="shared" si="27"/>
        <v>61</v>
      </c>
      <c r="W275" s="121">
        <f t="shared" si="41"/>
        <v>43</v>
      </c>
      <c r="X275" s="121"/>
      <c r="Y275" s="121"/>
      <c r="Z275" s="121"/>
      <c r="AA275" s="121"/>
    </row>
    <row r="276" spans="1:27" ht="18.75">
      <c r="A276" s="117"/>
      <c r="B276" s="117">
        <v>6200</v>
      </c>
      <c r="C276" s="117"/>
      <c r="D276" s="117" t="str">
        <f>"พัสดุ"&amp; VLOOKUP(V276,'เลขSpec.2 ตัวแรก'!$A$2:$B$100,2,FALSE)&amp; " จำนวน "&amp;W276&amp;" รายการ"</f>
        <v>พัสดุหมวด 62 สิ่งติดตั้งให้แสงสว่างและหลอดไฟฟ้า จำนวน 6 รายการ</v>
      </c>
      <c r="E276" s="117"/>
      <c r="F276" s="119"/>
      <c r="G276" s="119"/>
      <c r="H276" s="119"/>
      <c r="I276" s="117"/>
      <c r="J276" s="117"/>
      <c r="K276" s="117"/>
      <c r="L276" s="118"/>
      <c r="M276" s="117"/>
      <c r="N276" s="117"/>
      <c r="O276" s="117"/>
      <c r="P276" s="117"/>
      <c r="Q276" s="117"/>
      <c r="R276" s="119"/>
      <c r="S276" s="119"/>
      <c r="T276" s="119"/>
      <c r="U276" s="117"/>
      <c r="V276" s="117" t="str">
        <f t="shared" si="27"/>
        <v>62</v>
      </c>
      <c r="W276" s="117">
        <f>COUNTIF($V$2:$V$286,V276)-1</f>
        <v>6</v>
      </c>
      <c r="X276" s="118"/>
      <c r="Y276" s="24"/>
      <c r="Z276" s="24"/>
      <c r="AA276" s="24"/>
    </row>
    <row r="277" spans="1:27" ht="18.75">
      <c r="A277" s="88"/>
      <c r="B277" s="121">
        <v>6210</v>
      </c>
      <c r="C277" s="121" t="s">
        <v>37</v>
      </c>
      <c r="D277" s="88" t="s">
        <v>1153</v>
      </c>
      <c r="E277" s="121">
        <v>58</v>
      </c>
      <c r="F277" s="46" t="s">
        <v>1154</v>
      </c>
      <c r="G277" s="26" t="s">
        <v>53</v>
      </c>
      <c r="H277" s="122">
        <v>25000</v>
      </c>
      <c r="I277" s="123"/>
      <c r="J277" s="130" t="str">
        <f>HYPERLINK("https://drive.google.com/open?id=0B2vBTVEfSzItdTFoamhtbTdLVWM","6210")</f>
        <v>6210</v>
      </c>
      <c r="K277" s="132" t="str">
        <f>HYPERLINK("https://drive.google.com/drive/folders/0BwQ57SNHxB3BU0dnSnAtbXBjckU","6210")</f>
        <v>6210</v>
      </c>
      <c r="L277" s="125"/>
      <c r="M277" s="46"/>
      <c r="N277" s="126"/>
      <c r="O277" s="126"/>
      <c r="P277" s="126"/>
      <c r="Q277" s="126"/>
      <c r="R277" s="126"/>
      <c r="S277" s="126"/>
      <c r="T277" s="128">
        <v>15</v>
      </c>
      <c r="U277" s="128">
        <f t="shared" ref="U277:U282" si="42">E277+T277-2+2500</f>
        <v>2571</v>
      </c>
      <c r="V277" s="129" t="str">
        <f t="shared" si="27"/>
        <v>62</v>
      </c>
      <c r="W277" s="121">
        <f>COUNTIF($V$4:$V$286,V277)-1</f>
        <v>6</v>
      </c>
      <c r="X277" s="121"/>
      <c r="Y277" s="121"/>
      <c r="Z277" s="121"/>
      <c r="AA277" s="121"/>
    </row>
    <row r="278" spans="1:27" ht="18.75">
      <c r="A278" s="88"/>
      <c r="B278" s="121">
        <v>6210</v>
      </c>
      <c r="C278" s="121" t="s">
        <v>37</v>
      </c>
      <c r="D278" s="88" t="s">
        <v>1155</v>
      </c>
      <c r="E278" s="121">
        <v>58</v>
      </c>
      <c r="F278" s="46" t="s">
        <v>1156</v>
      </c>
      <c r="G278" s="26" t="s">
        <v>53</v>
      </c>
      <c r="H278" s="122">
        <v>25000</v>
      </c>
      <c r="I278" s="123"/>
      <c r="J278" s="130" t="str">
        <f>HYPERLINK("https://drive.google.com/open?id=0B2vBTVEfSzItWG80b09USW1rY1E","6210")</f>
        <v>6210</v>
      </c>
      <c r="K278" s="132" t="str">
        <f>HYPERLINK("https://drive.google.com/drive/folders/0BwQ57SNHxB3BU0dnSnAtbXBjckU","6210")</f>
        <v>6210</v>
      </c>
      <c r="L278" s="125"/>
      <c r="M278" s="46"/>
      <c r="N278" s="126"/>
      <c r="O278" s="126"/>
      <c r="P278" s="126"/>
      <c r="Q278" s="126"/>
      <c r="R278" s="126"/>
      <c r="S278" s="126"/>
      <c r="T278" s="128">
        <v>15</v>
      </c>
      <c r="U278" s="128">
        <f t="shared" si="42"/>
        <v>2571</v>
      </c>
      <c r="V278" s="129" t="str">
        <f t="shared" si="27"/>
        <v>62</v>
      </c>
      <c r="W278" s="121">
        <f>COUNTIF($V$4:$V$286,V278)-1</f>
        <v>6</v>
      </c>
      <c r="X278" s="121"/>
      <c r="Y278" s="121"/>
      <c r="Z278" s="121"/>
      <c r="AA278" s="121"/>
    </row>
    <row r="279" spans="1:27" ht="18.75">
      <c r="A279" s="88"/>
      <c r="B279" s="121">
        <v>6210</v>
      </c>
      <c r="C279" s="121" t="s">
        <v>37</v>
      </c>
      <c r="D279" s="88" t="s">
        <v>1157</v>
      </c>
      <c r="E279" s="121">
        <v>55</v>
      </c>
      <c r="F279" s="46" t="s">
        <v>1158</v>
      </c>
      <c r="G279" s="26" t="s">
        <v>53</v>
      </c>
      <c r="H279" s="122"/>
      <c r="I279" s="123"/>
      <c r="J279" s="130" t="str">
        <f>HYPERLINK("https://drive.google.com/open?id=0B2rLR4BADrBtaWlfTmY0VFFUOVk","6210")</f>
        <v>6210</v>
      </c>
      <c r="K279" s="132" t="str">
        <f>HYPERLINK("https://drive.google.com/drive/folders/0BwQ57SNHxB3BU0dnSnAtbXBjckU","6210")</f>
        <v>6210</v>
      </c>
      <c r="L279" s="125"/>
      <c r="M279" s="150"/>
      <c r="N279" s="126"/>
      <c r="O279" s="126"/>
      <c r="P279" s="126"/>
      <c r="Q279" s="126"/>
      <c r="R279" s="126"/>
      <c r="S279" s="126"/>
      <c r="T279" s="128">
        <v>15</v>
      </c>
      <c r="U279" s="128">
        <f t="shared" si="42"/>
        <v>2568</v>
      </c>
      <c r="V279" s="129" t="str">
        <f t="shared" si="27"/>
        <v>62</v>
      </c>
      <c r="W279" s="121">
        <f>COUNTIF('สำเนาของ 52-62 (สำหรับ จก.ตรวจเ'!$V$4:$V$286,V279)-1</f>
        <v>6</v>
      </c>
      <c r="X279" s="121"/>
      <c r="Y279" s="121"/>
      <c r="Z279" s="121"/>
      <c r="AA279" s="121"/>
    </row>
    <row r="280" spans="1:27" ht="18.75">
      <c r="A280" s="88"/>
      <c r="B280" s="121">
        <v>6210</v>
      </c>
      <c r="C280" s="121" t="s">
        <v>37</v>
      </c>
      <c r="D280" s="88" t="s">
        <v>1160</v>
      </c>
      <c r="E280" s="121">
        <v>59</v>
      </c>
      <c r="F280" s="46" t="s">
        <v>1161</v>
      </c>
      <c r="G280" s="26" t="s">
        <v>53</v>
      </c>
      <c r="H280" s="122"/>
      <c r="I280" s="123"/>
      <c r="J280" s="130" t="str">
        <f>HYPERLINK("https://drive.google.com/open?id=0B2vBTVEfSzItcjRRNTJmSkFTbEk","6210")</f>
        <v>6210</v>
      </c>
      <c r="K280" s="125"/>
      <c r="L280" s="125"/>
      <c r="M280" s="150"/>
      <c r="N280" s="126"/>
      <c r="O280" s="126"/>
      <c r="P280" s="126"/>
      <c r="Q280" s="126"/>
      <c r="R280" s="126"/>
      <c r="S280" s="126"/>
      <c r="T280" s="128"/>
      <c r="U280" s="128">
        <f t="shared" si="42"/>
        <v>2557</v>
      </c>
      <c r="V280" s="129" t="str">
        <f t="shared" si="27"/>
        <v>62</v>
      </c>
      <c r="W280" s="121">
        <f>COUNTIF('สำเนาของ 52-62 (สำหรับ จก.ตรวจเ'!$V$4:$V$286,V280)-1</f>
        <v>6</v>
      </c>
      <c r="X280" s="121"/>
      <c r="Y280" s="121"/>
      <c r="Z280" s="121"/>
      <c r="AA280" s="121"/>
    </row>
    <row r="281" spans="1:27" ht="18.75">
      <c r="A281" s="88"/>
      <c r="B281" s="121">
        <v>6230</v>
      </c>
      <c r="C281" s="121" t="s">
        <v>37</v>
      </c>
      <c r="D281" s="88" t="s">
        <v>1162</v>
      </c>
      <c r="E281" s="121">
        <v>60</v>
      </c>
      <c r="F281" s="46" t="s">
        <v>1163</v>
      </c>
      <c r="G281" s="26" t="s">
        <v>78</v>
      </c>
      <c r="H281" s="122">
        <v>380000</v>
      </c>
      <c r="I281" s="123"/>
      <c r="J281" s="130" t="str">
        <f>HYPERLINK("https://drive.google.com/open?id=0B2vBTVEfSzItY0xGd1VEejJVdE0","6230")</f>
        <v>6230</v>
      </c>
      <c r="K281" s="125"/>
      <c r="L281" s="125"/>
      <c r="M281" s="46"/>
      <c r="N281" s="126"/>
      <c r="O281" s="126"/>
      <c r="P281" s="126"/>
      <c r="Q281" s="126"/>
      <c r="R281" s="126"/>
      <c r="S281" s="126"/>
      <c r="T281" s="128"/>
      <c r="U281" s="128">
        <f t="shared" si="42"/>
        <v>2558</v>
      </c>
      <c r="V281" s="129" t="str">
        <f t="shared" si="27"/>
        <v>62</v>
      </c>
      <c r="W281" s="121">
        <f>COUNTIF($V$4:$V$286,V281)-1</f>
        <v>6</v>
      </c>
      <c r="X281" s="121"/>
      <c r="Y281" s="121"/>
      <c r="Z281" s="121"/>
      <c r="AA281" s="121"/>
    </row>
    <row r="282" spans="1:27" ht="18.75">
      <c r="A282" s="88"/>
      <c r="B282" s="121">
        <v>6230</v>
      </c>
      <c r="C282" s="121" t="s">
        <v>37</v>
      </c>
      <c r="D282" s="88" t="s">
        <v>1164</v>
      </c>
      <c r="E282" s="121">
        <v>60</v>
      </c>
      <c r="F282" s="46" t="s">
        <v>1165</v>
      </c>
      <c r="G282" s="26" t="s">
        <v>78</v>
      </c>
      <c r="H282" s="122">
        <v>428000</v>
      </c>
      <c r="I282" s="123"/>
      <c r="J282" s="130" t="str">
        <f>HYPERLINK("https://drive.google.com/open?id=1IX9TKLdgHzEM5ImxZF8EQnGbXuB5Q8mO","6230")</f>
        <v>6230</v>
      </c>
      <c r="K282" s="125"/>
      <c r="L282" s="125"/>
      <c r="M282" s="46"/>
      <c r="N282" s="126"/>
      <c r="O282" s="126"/>
      <c r="P282" s="126"/>
      <c r="Q282" s="126"/>
      <c r="R282" s="126"/>
      <c r="S282" s="126"/>
      <c r="T282" s="128"/>
      <c r="U282" s="128">
        <f t="shared" si="42"/>
        <v>2558</v>
      </c>
      <c r="V282" s="129" t="str">
        <f t="shared" si="27"/>
        <v>62</v>
      </c>
      <c r="W282" s="121">
        <f>COUNTIF($V$4:$V$286,V282)-1</f>
        <v>6</v>
      </c>
      <c r="X282" s="121"/>
      <c r="Y282" s="121"/>
      <c r="Z282" s="121"/>
      <c r="AA282" s="121"/>
    </row>
    <row r="283" spans="1:27" ht="18.75">
      <c r="A283" s="117"/>
      <c r="B283" s="117">
        <v>6300</v>
      </c>
      <c r="C283" s="117"/>
      <c r="D283" s="117" t="str">
        <f>"พัสดุ"&amp; VLOOKUP(V283,'เลขSpec.2 ตัวแรก'!$A$2:$B$100,2,FALSE)&amp; " จำนวน "&amp;W283&amp;" รายการ"</f>
        <v>พัสดุหมวด 63 ระบบให้สัญญาณและแจ้งภัย จำนวน 0 รายการ</v>
      </c>
      <c r="E283" s="117"/>
      <c r="F283" s="119"/>
      <c r="G283" s="119"/>
      <c r="H283" s="119"/>
      <c r="I283" s="117"/>
      <c r="J283" s="117"/>
      <c r="K283" s="117"/>
      <c r="L283" s="118"/>
      <c r="M283" s="117"/>
      <c r="N283" s="117"/>
      <c r="O283" s="117"/>
      <c r="P283" s="117"/>
      <c r="Q283" s="117"/>
      <c r="R283" s="119"/>
      <c r="S283" s="119"/>
      <c r="T283" s="119"/>
      <c r="U283" s="117"/>
      <c r="V283" s="117" t="str">
        <f t="shared" si="27"/>
        <v>63</v>
      </c>
      <c r="W283" s="117">
        <f>COUNTIF($V$2:$V$286,V283)-1</f>
        <v>0</v>
      </c>
      <c r="X283" s="118"/>
      <c r="Y283" s="24"/>
      <c r="Z283" s="24"/>
      <c r="AA283" s="24"/>
    </row>
    <row r="284" spans="1:27" ht="18.75">
      <c r="A284" s="117"/>
      <c r="B284" s="117">
        <v>6600</v>
      </c>
      <c r="C284" s="117"/>
      <c r="D284" s="117" t="str">
        <f>"พัสดุ"&amp; VLOOKUP(V284,'เลขSpec.2 ตัวแรก'!$A$2:$B$100,2,FALSE)&amp; " จำนวน "&amp;W284&amp;" รายการ"</f>
        <v>พัสดุหมวด 66 เครื่องวัดและบริภัณฑ์ห้องวิทยาศาสตร์ จำนวน 2 รายการ</v>
      </c>
      <c r="E284" s="119"/>
      <c r="F284" s="119"/>
      <c r="G284" s="119"/>
      <c r="H284" s="117"/>
      <c r="I284" s="117"/>
      <c r="J284" s="117"/>
      <c r="K284" s="117"/>
      <c r="L284" s="117"/>
      <c r="M284" s="117"/>
      <c r="N284" s="119"/>
      <c r="O284" s="119"/>
      <c r="P284" s="119"/>
      <c r="Q284" s="117"/>
      <c r="R284" s="117"/>
      <c r="S284" s="117"/>
      <c r="T284" s="117"/>
      <c r="U284" s="117"/>
      <c r="V284" s="117" t="str">
        <f t="shared" si="27"/>
        <v>66</v>
      </c>
      <c r="W284" s="119">
        <f>COUNTIF($V$4:$V$286,V284)-1</f>
        <v>2</v>
      </c>
      <c r="X284" s="119"/>
      <c r="Y284" s="119"/>
      <c r="Z284" s="117"/>
      <c r="AA284" s="117"/>
    </row>
    <row r="285" spans="1:27" ht="18.75">
      <c r="A285" s="88"/>
      <c r="B285" s="121">
        <v>6625</v>
      </c>
      <c r="C285" s="121" t="s">
        <v>37</v>
      </c>
      <c r="D285" s="88" t="s">
        <v>1168</v>
      </c>
      <c r="E285" s="121">
        <v>57</v>
      </c>
      <c r="F285" s="46" t="s">
        <v>1169</v>
      </c>
      <c r="G285" s="26" t="s">
        <v>78</v>
      </c>
      <c r="H285" s="122">
        <v>300000</v>
      </c>
      <c r="I285" s="123"/>
      <c r="J285" s="130" t="str">
        <f>HYPERLINK("https://drive.google.com/open?id=0B2rLR4BADrBtdnA4dE5IXzhlbW8","6625")</f>
        <v>6625</v>
      </c>
      <c r="K285" s="132" t="str">
        <f>HYPERLINK("https://drive.google.com/drive/folders/0BwQ57SNHxB3Bc29mbC1DY2ZNVFU","6625")</f>
        <v>6625</v>
      </c>
      <c r="L285" s="125"/>
      <c r="M285" s="46"/>
      <c r="N285" s="126"/>
      <c r="O285" s="126"/>
      <c r="P285" s="126"/>
      <c r="Q285" s="126"/>
      <c r="R285" s="126"/>
      <c r="S285" s="126"/>
      <c r="T285" s="128">
        <v>10</v>
      </c>
      <c r="U285" s="128">
        <f t="shared" ref="U285:U290" si="43">E285+T285-2+2500</f>
        <v>2565</v>
      </c>
      <c r="V285" s="129" t="str">
        <f t="shared" si="27"/>
        <v>66</v>
      </c>
      <c r="W285" s="121">
        <f>COUNTIF('สำเนาของ 52-62 (สำหรับ จก.ตรวจเ'!$V$4:$V$286,V285)-1</f>
        <v>2</v>
      </c>
      <c r="X285" s="121"/>
      <c r="Y285" s="121"/>
      <c r="Z285" s="121"/>
      <c r="AA285" s="121"/>
    </row>
    <row r="286" spans="1:27" ht="18.75">
      <c r="A286" s="88"/>
      <c r="B286" s="121">
        <v>6630</v>
      </c>
      <c r="C286" s="121" t="s">
        <v>256</v>
      </c>
      <c r="D286" s="88" t="s">
        <v>1170</v>
      </c>
      <c r="E286" s="121">
        <v>54</v>
      </c>
      <c r="F286" s="46" t="s">
        <v>1171</v>
      </c>
      <c r="G286" s="26" t="s">
        <v>78</v>
      </c>
      <c r="H286" s="122">
        <v>20000</v>
      </c>
      <c r="I286" s="123"/>
      <c r="J286" s="130" t="str">
        <f>HYPERLINK("https://drive.google.com/open?id=0B2rLR4BADrBtZnpYNFBJZDFfSUk","6630")</f>
        <v>6630</v>
      </c>
      <c r="K286" s="132" t="str">
        <f>HYPERLINK("https://drive.google.com/drive/folders/0BwQ57SNHxB3BWl9JMnhJVnpmZXc","6630")</f>
        <v>6630</v>
      </c>
      <c r="L286" s="125"/>
      <c r="M286" s="46"/>
      <c r="N286" s="126"/>
      <c r="O286" s="126"/>
      <c r="P286" s="126"/>
      <c r="Q286" s="126"/>
      <c r="R286" s="126"/>
      <c r="S286" s="126"/>
      <c r="T286" s="128">
        <v>10</v>
      </c>
      <c r="U286" s="128">
        <f t="shared" si="43"/>
        <v>2562</v>
      </c>
      <c r="V286" s="129" t="str">
        <f t="shared" si="27"/>
        <v>66</v>
      </c>
      <c r="W286" s="121">
        <f>COUNTIF($V$4:$V$286,V286)-1</f>
        <v>2</v>
      </c>
      <c r="X286" s="121"/>
      <c r="Y286" s="121"/>
      <c r="Z286" s="121"/>
      <c r="AA286" s="121"/>
    </row>
    <row r="287" spans="1:27" ht="18.75">
      <c r="A287" s="88"/>
      <c r="B287" s="121">
        <v>6630</v>
      </c>
      <c r="C287" s="121" t="s">
        <v>256</v>
      </c>
      <c r="D287" s="88" t="s">
        <v>1172</v>
      </c>
      <c r="E287" s="121">
        <v>52</v>
      </c>
      <c r="F287" s="46" t="s">
        <v>1173</v>
      </c>
      <c r="G287" s="26" t="s">
        <v>78</v>
      </c>
      <c r="H287" s="122">
        <v>5000</v>
      </c>
      <c r="I287" s="123"/>
      <c r="J287" s="130" t="str">
        <f>HYPERLINK("https://drive.google.com/open?id=0B2rLR4BADrBtamRxMHBZMmVlSmc","6630")</f>
        <v>6630</v>
      </c>
      <c r="K287" s="132" t="str">
        <f>HYPERLINK("https://drive.google.com/drive/folders/0BwQ57SNHxB3BWl9JMnhJVnpmZXc","6630")</f>
        <v>6630</v>
      </c>
      <c r="L287" s="125"/>
      <c r="M287" s="46"/>
      <c r="N287" s="126"/>
      <c r="O287" s="126"/>
      <c r="P287" s="126"/>
      <c r="Q287" s="126"/>
      <c r="R287" s="126"/>
      <c r="S287" s="126"/>
      <c r="T287" s="128">
        <v>10</v>
      </c>
      <c r="U287" s="128">
        <f t="shared" si="43"/>
        <v>2560</v>
      </c>
      <c r="V287" s="129" t="str">
        <f t="shared" si="27"/>
        <v>66</v>
      </c>
      <c r="W287" s="121">
        <f>COUNTIF('สำเนาของ 52-62 (สำหรับ จก.ตรวจเ'!$V$4:$V$286,V287)-1</f>
        <v>2</v>
      </c>
      <c r="X287" s="121"/>
      <c r="Y287" s="121"/>
      <c r="Z287" s="121"/>
      <c r="AA287" s="121"/>
    </row>
    <row r="288" spans="1:27" ht="18.75">
      <c r="A288" s="88"/>
      <c r="B288" s="121">
        <v>6630</v>
      </c>
      <c r="C288" s="121" t="s">
        <v>256</v>
      </c>
      <c r="D288" s="88" t="s">
        <v>1174</v>
      </c>
      <c r="E288" s="121">
        <v>54</v>
      </c>
      <c r="F288" s="46" t="s">
        <v>1175</v>
      </c>
      <c r="G288" s="26" t="s">
        <v>78</v>
      </c>
      <c r="H288" s="122">
        <v>35000</v>
      </c>
      <c r="I288" s="123"/>
      <c r="J288" s="130" t="str">
        <f>HYPERLINK("https://drive.google.com/open?id=0B2rLR4BADrBtNktQNEV0Ry1UbnM","6630")</f>
        <v>6630</v>
      </c>
      <c r="K288" s="132" t="str">
        <f>HYPERLINK("https://drive.google.com/drive/folders/0BwQ57SNHxB3BWl9JMnhJVnpmZXc","6630")</f>
        <v>6630</v>
      </c>
      <c r="L288" s="125"/>
      <c r="M288" s="46"/>
      <c r="N288" s="126"/>
      <c r="O288" s="126"/>
      <c r="P288" s="126"/>
      <c r="Q288" s="126"/>
      <c r="R288" s="126"/>
      <c r="S288" s="126"/>
      <c r="T288" s="128">
        <v>10</v>
      </c>
      <c r="U288" s="128">
        <f t="shared" si="43"/>
        <v>2562</v>
      </c>
      <c r="V288" s="129" t="str">
        <f t="shared" si="27"/>
        <v>66</v>
      </c>
      <c r="W288" s="121">
        <f>COUNTIF('สำเนาของ 52-62 (สำหรับ จก.ตรวจเ'!$V$4:$V$286,V288)-1</f>
        <v>2</v>
      </c>
      <c r="X288" s="121"/>
      <c r="Y288" s="121"/>
      <c r="Z288" s="121"/>
      <c r="AA288" s="121"/>
    </row>
    <row r="289" spans="1:27" ht="37.5">
      <c r="A289" s="88"/>
      <c r="B289" s="121">
        <v>6635</v>
      </c>
      <c r="C289" s="121" t="s">
        <v>372</v>
      </c>
      <c r="D289" s="88" t="s">
        <v>1176</v>
      </c>
      <c r="E289" s="121">
        <v>60</v>
      </c>
      <c r="F289" s="46" t="s">
        <v>1177</v>
      </c>
      <c r="G289" s="26" t="s">
        <v>78</v>
      </c>
      <c r="H289" s="122">
        <v>130000</v>
      </c>
      <c r="I289" s="154">
        <v>22044</v>
      </c>
      <c r="J289" s="130" t="str">
        <f>HYPERLINK("https://drive.google.com/open?id=0B2vBTVEfSzItRFlqbDlpNHd2R0k","6635")</f>
        <v>6635</v>
      </c>
      <c r="K289" s="125"/>
      <c r="L289" s="88" t="s">
        <v>1178</v>
      </c>
      <c r="M289" s="46"/>
      <c r="N289" s="126"/>
      <c r="O289" s="126"/>
      <c r="P289" s="126"/>
      <c r="Q289" s="126"/>
      <c r="R289" s="126"/>
      <c r="S289" s="126"/>
      <c r="T289" s="135">
        <v>10</v>
      </c>
      <c r="U289" s="135">
        <f t="shared" si="43"/>
        <v>2568</v>
      </c>
      <c r="V289" s="129" t="str">
        <f t="shared" si="27"/>
        <v>66</v>
      </c>
      <c r="W289" s="121">
        <f>COUNTIF('สำเนาของ 52-62 (สำหรับ จก.ตรวจเ'!$V$4:$V$286,V289)-1</f>
        <v>2</v>
      </c>
      <c r="X289" s="121" t="s">
        <v>384</v>
      </c>
      <c r="Y289" s="121"/>
      <c r="Z289" s="121"/>
      <c r="AA289" s="121"/>
    </row>
    <row r="290" spans="1:27" ht="18.75">
      <c r="A290" s="88"/>
      <c r="B290" s="121">
        <v>6635</v>
      </c>
      <c r="C290" s="121" t="s">
        <v>372</v>
      </c>
      <c r="D290" s="121" t="s">
        <v>1179</v>
      </c>
      <c r="E290" s="121">
        <v>60</v>
      </c>
      <c r="F290" s="46" t="s">
        <v>817</v>
      </c>
      <c r="G290" s="26" t="s">
        <v>78</v>
      </c>
      <c r="H290" s="122">
        <v>1350000</v>
      </c>
      <c r="I290" s="123">
        <v>22139</v>
      </c>
      <c r="J290" s="130" t="str">
        <f>HYPERLINK("https://drive.google.com/open?id=0B2vBTVEfSzItSHNVa2NISUk0SVE","6635")</f>
        <v>6635</v>
      </c>
      <c r="K290" s="125"/>
      <c r="L290" s="88" t="s">
        <v>1180</v>
      </c>
      <c r="M290" s="155"/>
      <c r="N290" s="126"/>
      <c r="O290" s="126"/>
      <c r="P290" s="126"/>
      <c r="Q290" s="126"/>
      <c r="R290" s="126"/>
      <c r="S290" s="126"/>
      <c r="T290" s="135">
        <v>10</v>
      </c>
      <c r="U290" s="135">
        <f t="shared" si="43"/>
        <v>2568</v>
      </c>
      <c r="V290" s="129" t="str">
        <f t="shared" si="27"/>
        <v>66</v>
      </c>
      <c r="W290" s="121">
        <f>COUNTIF('สำเนาของ 52-62 (สำหรับ จก.ตรวจเ'!$V$4:$V$286,V290)-1</f>
        <v>2</v>
      </c>
      <c r="X290" s="121" t="s">
        <v>384</v>
      </c>
      <c r="Y290" s="121"/>
      <c r="Z290" s="121"/>
      <c r="AA290" s="121"/>
    </row>
    <row r="291" spans="1:27" ht="18.75">
      <c r="A291" s="88"/>
      <c r="B291" s="121">
        <v>6635</v>
      </c>
      <c r="C291" s="121" t="s">
        <v>372</v>
      </c>
      <c r="D291" s="121" t="s">
        <v>1181</v>
      </c>
      <c r="E291" s="121">
        <v>61</v>
      </c>
      <c r="F291" s="46" t="s">
        <v>1182</v>
      </c>
      <c r="G291" s="26" t="s">
        <v>78</v>
      </c>
      <c r="H291" s="122">
        <v>990000</v>
      </c>
      <c r="I291" s="123"/>
      <c r="J291" s="130" t="str">
        <f>HYPERLINK("https://drive.google.com/open?id=1G3nu2a5YOSCtJmWbjlrkU5HdlLSFNHHx","6635")</f>
        <v>6635</v>
      </c>
      <c r="K291" s="125"/>
      <c r="L291" s="148">
        <v>6635356816229</v>
      </c>
      <c r="M291" s="46"/>
      <c r="N291" s="126"/>
      <c r="O291" s="126"/>
      <c r="P291" s="126"/>
      <c r="Q291" s="126"/>
      <c r="R291" s="126"/>
      <c r="S291" s="126"/>
      <c r="T291" s="135"/>
      <c r="U291" s="128"/>
      <c r="V291" s="129" t="str">
        <f t="shared" si="27"/>
        <v>66</v>
      </c>
      <c r="W291" s="121">
        <f>COUNTIF('สำเนาของ 52-62 (สำหรับ จก.ตรวจเ'!$V$4:$V$286,V291)-1</f>
        <v>2</v>
      </c>
      <c r="X291" s="121" t="s">
        <v>384</v>
      </c>
      <c r="Y291" s="121"/>
      <c r="Z291" s="121"/>
      <c r="AA291" s="121"/>
    </row>
    <row r="292" spans="1:27" ht="37.5">
      <c r="A292" s="88"/>
      <c r="B292" s="121">
        <v>6635</v>
      </c>
      <c r="C292" s="121" t="s">
        <v>372</v>
      </c>
      <c r="D292" s="88" t="s">
        <v>1183</v>
      </c>
      <c r="E292" s="121">
        <v>61</v>
      </c>
      <c r="F292" s="46" t="s">
        <v>1184</v>
      </c>
      <c r="G292" s="26" t="s">
        <v>53</v>
      </c>
      <c r="H292" s="122">
        <v>825000</v>
      </c>
      <c r="I292" s="123">
        <v>43258</v>
      </c>
      <c r="J292" s="130" t="str">
        <f>HYPERLINK("https://drive.google.com/open?id=1QN5WobtgQ0w2Geq2x1LJuYHJqgCpQzmn","6635")</f>
        <v>6635</v>
      </c>
      <c r="K292" s="125"/>
      <c r="L292" s="88">
        <v>6675356816708</v>
      </c>
      <c r="M292" s="46"/>
      <c r="N292" s="126"/>
      <c r="O292" s="126"/>
      <c r="P292" s="126"/>
      <c r="Q292" s="126"/>
      <c r="R292" s="126"/>
      <c r="S292" s="126"/>
      <c r="T292" s="135"/>
      <c r="U292" s="128"/>
      <c r="V292" s="129" t="str">
        <f t="shared" si="27"/>
        <v>66</v>
      </c>
      <c r="W292" s="121">
        <f t="shared" ref="W292:W298" si="44">COUNTIF($V$4:$V$286,V292)-1</f>
        <v>2</v>
      </c>
      <c r="X292" s="121" t="s">
        <v>384</v>
      </c>
      <c r="Y292" s="121"/>
      <c r="Z292" s="121"/>
      <c r="AA292" s="121"/>
    </row>
    <row r="293" spans="1:27" ht="18.75">
      <c r="A293" s="88"/>
      <c r="B293" s="121">
        <v>6635</v>
      </c>
      <c r="C293" s="121" t="s">
        <v>372</v>
      </c>
      <c r="D293" s="121" t="s">
        <v>1185</v>
      </c>
      <c r="E293" s="121">
        <v>60</v>
      </c>
      <c r="F293" s="46" t="s">
        <v>1186</v>
      </c>
      <c r="G293" s="26" t="s">
        <v>53</v>
      </c>
      <c r="H293" s="122">
        <v>160000</v>
      </c>
      <c r="I293" s="123">
        <v>42719</v>
      </c>
      <c r="J293" s="130" t="str">
        <f>HYPERLINK("https://drive.google.com/open?id=0B2vBTVEfSzItZWF2MkQ2cnNlRlk","6635")</f>
        <v>6635</v>
      </c>
      <c r="K293" s="125"/>
      <c r="L293" s="88" t="s">
        <v>1187</v>
      </c>
      <c r="M293" s="46"/>
      <c r="N293" s="126"/>
      <c r="O293" s="126"/>
      <c r="P293" s="126"/>
      <c r="Q293" s="126"/>
      <c r="R293" s="126"/>
      <c r="S293" s="126"/>
      <c r="T293" s="135">
        <v>10</v>
      </c>
      <c r="U293" s="135">
        <f>E293+T293-2+2500</f>
        <v>2568</v>
      </c>
      <c r="V293" s="129" t="str">
        <f t="shared" si="27"/>
        <v>66</v>
      </c>
      <c r="W293" s="121">
        <f t="shared" si="44"/>
        <v>2</v>
      </c>
      <c r="X293" s="121" t="s">
        <v>384</v>
      </c>
      <c r="Y293" s="121"/>
      <c r="Z293" s="121"/>
      <c r="AA293" s="121"/>
    </row>
    <row r="294" spans="1:27" ht="18.75">
      <c r="A294" s="88"/>
      <c r="B294" s="121">
        <v>6635</v>
      </c>
      <c r="C294" s="121" t="s">
        <v>372</v>
      </c>
      <c r="D294" s="121" t="s">
        <v>1188</v>
      </c>
      <c r="E294" s="121">
        <v>60</v>
      </c>
      <c r="F294" s="46" t="s">
        <v>1189</v>
      </c>
      <c r="G294" s="26" t="s">
        <v>53</v>
      </c>
      <c r="H294" s="122">
        <v>1250000</v>
      </c>
      <c r="I294" s="123">
        <v>42719</v>
      </c>
      <c r="J294" s="130" t="str">
        <f>HYPERLINK("https://drive.google.com/open?id=0B2vBTVEfSzItSlJJUF9hUEZYZWM","6635")</f>
        <v>6635</v>
      </c>
      <c r="K294" s="125"/>
      <c r="L294" s="88" t="s">
        <v>1190</v>
      </c>
      <c r="M294" s="46"/>
      <c r="N294" s="126"/>
      <c r="O294" s="126"/>
      <c r="P294" s="126"/>
      <c r="Q294" s="126"/>
      <c r="R294" s="126"/>
      <c r="S294" s="126"/>
      <c r="T294" s="135">
        <v>10</v>
      </c>
      <c r="U294" s="135">
        <f>E294+T294-2+2500</f>
        <v>2568</v>
      </c>
      <c r="V294" s="129" t="str">
        <f t="shared" si="27"/>
        <v>66</v>
      </c>
      <c r="W294" s="121">
        <f t="shared" si="44"/>
        <v>2</v>
      </c>
      <c r="X294" s="121" t="s">
        <v>384</v>
      </c>
      <c r="Y294" s="121"/>
      <c r="Z294" s="121"/>
      <c r="AA294" s="121"/>
    </row>
    <row r="295" spans="1:27" ht="37.5">
      <c r="A295" s="88"/>
      <c r="B295" s="121">
        <v>6635</v>
      </c>
      <c r="C295" s="121" t="s">
        <v>372</v>
      </c>
      <c r="D295" s="88" t="s">
        <v>1191</v>
      </c>
      <c r="E295" s="121">
        <v>56</v>
      </c>
      <c r="F295" s="46" t="s">
        <v>1192</v>
      </c>
      <c r="G295" s="26" t="s">
        <v>53</v>
      </c>
      <c r="H295" s="122">
        <v>150000</v>
      </c>
      <c r="I295" s="123"/>
      <c r="J295" s="130" t="str">
        <f>HYPERLINK("https://drive.google.com/open?id=0B2rLR4BADrBtWHdNMjRnUHBxMFk","6635")</f>
        <v>6635</v>
      </c>
      <c r="K295" s="132" t="str">
        <f>HYPERLINK("https://drive.google.com/drive/folders/0BwN2QqBc2z4QfnY4U0JvR3FXcU9udlB0YUJXLUx0M05yMkZiRi0tbjJZR2lvUnBCLWc0bjg","6635")</f>
        <v>6635</v>
      </c>
      <c r="L295" s="88" t="s">
        <v>1194</v>
      </c>
      <c r="M295" s="46"/>
      <c r="N295" s="126"/>
      <c r="O295" s="126"/>
      <c r="P295" s="126"/>
      <c r="Q295" s="126"/>
      <c r="R295" s="126"/>
      <c r="S295" s="126"/>
      <c r="T295" s="135">
        <v>10</v>
      </c>
      <c r="U295" s="135">
        <f>E295+T295-2+2500</f>
        <v>2564</v>
      </c>
      <c r="V295" s="129" t="str">
        <f t="shared" si="27"/>
        <v>66</v>
      </c>
      <c r="W295" s="121">
        <f t="shared" si="44"/>
        <v>2</v>
      </c>
      <c r="X295" s="121" t="s">
        <v>384</v>
      </c>
      <c r="Y295" s="121"/>
      <c r="Z295" s="121"/>
      <c r="AA295" s="121"/>
    </row>
    <row r="296" spans="1:27" ht="18.75">
      <c r="A296" s="88"/>
      <c r="B296" s="121">
        <v>6635</v>
      </c>
      <c r="C296" s="121" t="s">
        <v>372</v>
      </c>
      <c r="D296" s="121" t="s">
        <v>1206</v>
      </c>
      <c r="E296" s="121">
        <v>60</v>
      </c>
      <c r="F296" s="46" t="s">
        <v>1207</v>
      </c>
      <c r="G296" s="26" t="s">
        <v>53</v>
      </c>
      <c r="H296" s="122">
        <v>802500</v>
      </c>
      <c r="I296" s="123"/>
      <c r="J296" s="130" t="str">
        <f>HYPERLINK("https://drive.google.com/open?id=0B2vBTVEfSzItbzdwZGpwVXRmcnM","6635")</f>
        <v>6635</v>
      </c>
      <c r="K296" s="125"/>
      <c r="L296" s="88" t="s">
        <v>1208</v>
      </c>
      <c r="M296" s="46"/>
      <c r="N296" s="126"/>
      <c r="O296" s="126"/>
      <c r="P296" s="126"/>
      <c r="Q296" s="126"/>
      <c r="R296" s="126"/>
      <c r="S296" s="126"/>
      <c r="T296" s="135">
        <v>10</v>
      </c>
      <c r="U296" s="135">
        <f>E296+T296-2+2500</f>
        <v>2568</v>
      </c>
      <c r="V296" s="129" t="str">
        <f t="shared" si="27"/>
        <v>66</v>
      </c>
      <c r="W296" s="121">
        <f t="shared" si="44"/>
        <v>2</v>
      </c>
      <c r="X296" s="121" t="s">
        <v>384</v>
      </c>
      <c r="Y296" s="121"/>
      <c r="Z296" s="121"/>
      <c r="AA296" s="121"/>
    </row>
    <row r="297" spans="1:27" ht="18.75">
      <c r="A297" s="88"/>
      <c r="B297" s="121">
        <v>6635</v>
      </c>
      <c r="C297" s="121" t="s">
        <v>372</v>
      </c>
      <c r="D297" s="121" t="s">
        <v>1209</v>
      </c>
      <c r="E297" s="121">
        <v>60</v>
      </c>
      <c r="F297" s="46" t="s">
        <v>1210</v>
      </c>
      <c r="G297" s="26" t="s">
        <v>53</v>
      </c>
      <c r="H297" s="122">
        <v>100000</v>
      </c>
      <c r="I297" s="123">
        <v>42719</v>
      </c>
      <c r="J297" s="130" t="str">
        <f>HYPERLINK("https://drive.google.com/open?id=0B2vBTVEfSzItQXNxZGZ6VUZfUWc","6635")</f>
        <v>6635</v>
      </c>
      <c r="K297" s="125"/>
      <c r="L297" s="88" t="s">
        <v>1211</v>
      </c>
      <c r="M297" s="46"/>
      <c r="N297" s="126"/>
      <c r="O297" s="126"/>
      <c r="P297" s="126"/>
      <c r="Q297" s="126"/>
      <c r="R297" s="126"/>
      <c r="S297" s="126"/>
      <c r="T297" s="135">
        <v>10</v>
      </c>
      <c r="U297" s="135">
        <f>E297+T297-2+2500</f>
        <v>2568</v>
      </c>
      <c r="V297" s="129" t="str">
        <f t="shared" si="27"/>
        <v>66</v>
      </c>
      <c r="W297" s="121">
        <f t="shared" si="44"/>
        <v>2</v>
      </c>
      <c r="X297" s="121" t="s">
        <v>384</v>
      </c>
      <c r="Y297" s="121"/>
      <c r="Z297" s="121"/>
      <c r="AA297" s="121"/>
    </row>
    <row r="298" spans="1:27" ht="37.5">
      <c r="A298" s="88"/>
      <c r="B298" s="121">
        <v>6635</v>
      </c>
      <c r="C298" s="121" t="s">
        <v>372</v>
      </c>
      <c r="D298" s="88" t="s">
        <v>1212</v>
      </c>
      <c r="E298" s="121">
        <v>61</v>
      </c>
      <c r="F298" s="46" t="s">
        <v>824</v>
      </c>
      <c r="G298" s="26" t="s">
        <v>53</v>
      </c>
      <c r="H298" s="122">
        <v>1500000</v>
      </c>
      <c r="I298" s="123"/>
      <c r="J298" s="130" t="str">
        <f>HYPERLINK("https://drive.google.com/open?id=1qJZuPAENw5gPH9hpeMH6iNXpQnE12nDV","6635")</f>
        <v>6635</v>
      </c>
      <c r="K298" s="125"/>
      <c r="L298" s="88" t="s">
        <v>1213</v>
      </c>
      <c r="M298" s="46"/>
      <c r="N298" s="126"/>
      <c r="O298" s="126"/>
      <c r="P298" s="126"/>
      <c r="Q298" s="126"/>
      <c r="R298" s="126"/>
      <c r="S298" s="126"/>
      <c r="T298" s="135"/>
      <c r="U298" s="128"/>
      <c r="V298" s="129" t="str">
        <f t="shared" si="27"/>
        <v>66</v>
      </c>
      <c r="W298" s="121">
        <f t="shared" si="44"/>
        <v>2</v>
      </c>
      <c r="X298" s="121" t="s">
        <v>384</v>
      </c>
      <c r="Y298" s="121"/>
      <c r="Z298" s="121"/>
      <c r="AA298" s="121"/>
    </row>
    <row r="299" spans="1:27" ht="18.75">
      <c r="A299" s="88"/>
      <c r="B299" s="121">
        <v>6635</v>
      </c>
      <c r="C299" s="121" t="s">
        <v>372</v>
      </c>
      <c r="D299" s="121" t="s">
        <v>1214</v>
      </c>
      <c r="E299" s="121">
        <v>60</v>
      </c>
      <c r="F299" s="46" t="s">
        <v>1215</v>
      </c>
      <c r="G299" s="26" t="s">
        <v>78</v>
      </c>
      <c r="H299" s="122">
        <v>150000</v>
      </c>
      <c r="I299" s="123"/>
      <c r="J299" s="130" t="str">
        <f>HYPERLINK("https://drive.google.com/open?id=0B2vBTVEfSzItT2VpNVV3TWJBaWc","6635")</f>
        <v>6635</v>
      </c>
      <c r="K299" s="125"/>
      <c r="L299" s="88" t="s">
        <v>1216</v>
      </c>
      <c r="M299" s="46"/>
      <c r="N299" s="126"/>
      <c r="O299" s="126"/>
      <c r="P299" s="126"/>
      <c r="Q299" s="126"/>
      <c r="R299" s="126"/>
      <c r="S299" s="126"/>
      <c r="T299" s="135">
        <v>10</v>
      </c>
      <c r="U299" s="135">
        <f t="shared" ref="U299:U305" si="45">E299+T299-2+2500</f>
        <v>2568</v>
      </c>
      <c r="V299" s="129" t="str">
        <f t="shared" si="27"/>
        <v>66</v>
      </c>
      <c r="W299" s="121">
        <f>COUNTIF('สำเนาของ 52-62 (สำหรับ จก.ตรวจเ'!$V$4:$V$286,V299)-1</f>
        <v>2</v>
      </c>
      <c r="X299" s="121" t="s">
        <v>384</v>
      </c>
      <c r="Y299" s="121"/>
      <c r="Z299" s="121"/>
      <c r="AA299" s="121"/>
    </row>
    <row r="300" spans="1:27" ht="18.75">
      <c r="A300" s="88"/>
      <c r="B300" s="121">
        <v>6675</v>
      </c>
      <c r="C300" s="121" t="s">
        <v>372</v>
      </c>
      <c r="D300" s="88" t="s">
        <v>1217</v>
      </c>
      <c r="E300" s="121">
        <v>58</v>
      </c>
      <c r="F300" s="46" t="s">
        <v>1218</v>
      </c>
      <c r="G300" s="26" t="s">
        <v>78</v>
      </c>
      <c r="H300" s="122">
        <v>56000</v>
      </c>
      <c r="I300" s="123"/>
      <c r="J300" s="130" t="str">
        <f>HYPERLINK("https://drive.google.com/open?id=0B2vBTVEfSzItd1I2am1pNTV4QWc","6675")</f>
        <v>6675</v>
      </c>
      <c r="K300" s="132" t="str">
        <f>HYPERLINK("https://drive.google.com/drive/folders/0BwQ57SNHxB3BcFJfdHFXV2VQcDQ","6675")</f>
        <v>6675</v>
      </c>
      <c r="L300" s="148">
        <v>6675357069807</v>
      </c>
      <c r="M300" s="46"/>
      <c r="N300" s="126"/>
      <c r="O300" s="126"/>
      <c r="P300" s="126"/>
      <c r="Q300" s="126"/>
      <c r="R300" s="126"/>
      <c r="S300" s="126"/>
      <c r="T300" s="135">
        <v>10</v>
      </c>
      <c r="U300" s="135">
        <f t="shared" si="45"/>
        <v>2566</v>
      </c>
      <c r="V300" s="129" t="str">
        <f t="shared" si="27"/>
        <v>66</v>
      </c>
      <c r="W300" s="121">
        <f>COUNTIF($V$4:$V$286,V300)-1</f>
        <v>2</v>
      </c>
      <c r="X300" s="121" t="s">
        <v>1219</v>
      </c>
      <c r="Y300" s="121"/>
      <c r="Z300" s="121"/>
      <c r="AA300" s="121"/>
    </row>
    <row r="301" spans="1:27" ht="37.5">
      <c r="A301" s="88"/>
      <c r="B301" s="121">
        <v>6675</v>
      </c>
      <c r="C301" s="121" t="s">
        <v>372</v>
      </c>
      <c r="D301" s="88" t="s">
        <v>1220</v>
      </c>
      <c r="E301" s="121">
        <v>59</v>
      </c>
      <c r="F301" s="46" t="s">
        <v>1221</v>
      </c>
      <c r="G301" s="26" t="s">
        <v>78</v>
      </c>
      <c r="H301" s="122">
        <v>23000</v>
      </c>
      <c r="I301" s="123"/>
      <c r="J301" s="130" t="str">
        <f>HYPERLINK("https://drive.google.com/open?id=0B2vBTVEfSzItQncxdE9LZTQxY00","6675")</f>
        <v>6675</v>
      </c>
      <c r="K301" s="125"/>
      <c r="L301" s="88" t="s">
        <v>1222</v>
      </c>
      <c r="M301" s="46"/>
      <c r="N301" s="126"/>
      <c r="O301" s="126"/>
      <c r="P301" s="126"/>
      <c r="Q301" s="126"/>
      <c r="R301" s="126"/>
      <c r="S301" s="126"/>
      <c r="T301" s="135">
        <v>10</v>
      </c>
      <c r="U301" s="135">
        <f t="shared" si="45"/>
        <v>2567</v>
      </c>
      <c r="V301" s="129" t="str">
        <f t="shared" si="27"/>
        <v>66</v>
      </c>
      <c r="W301" s="121">
        <f>COUNTIF('สำเนาของ 52-62 (สำหรับ จก.ตรวจเ'!$V$4:$V$286,V301)-1</f>
        <v>2</v>
      </c>
      <c r="X301" s="121" t="s">
        <v>1219</v>
      </c>
      <c r="Y301" s="121"/>
      <c r="Z301" s="121"/>
      <c r="AA301" s="121"/>
    </row>
    <row r="302" spans="1:27" ht="37.5">
      <c r="A302" s="88"/>
      <c r="B302" s="121">
        <v>6675</v>
      </c>
      <c r="C302" s="121" t="s">
        <v>372</v>
      </c>
      <c r="D302" s="88" t="s">
        <v>1223</v>
      </c>
      <c r="E302" s="121">
        <v>59</v>
      </c>
      <c r="F302" s="46" t="s">
        <v>1224</v>
      </c>
      <c r="G302" s="26" t="s">
        <v>78</v>
      </c>
      <c r="H302" s="122">
        <v>900000</v>
      </c>
      <c r="I302" s="123"/>
      <c r="J302" s="130" t="str">
        <f>HYPERLINK("https://drive.google.com/open?id=0B2vBTVEfSzItV2NMUG9uSnFIZ28","6675")</f>
        <v>6675</v>
      </c>
      <c r="K302" s="125"/>
      <c r="L302" s="148" t="s">
        <v>1225</v>
      </c>
      <c r="M302" s="46"/>
      <c r="N302" s="126"/>
      <c r="O302" s="126"/>
      <c r="P302" s="126"/>
      <c r="Q302" s="126"/>
      <c r="R302" s="126"/>
      <c r="S302" s="126"/>
      <c r="T302" s="135">
        <v>10</v>
      </c>
      <c r="U302" s="135">
        <f t="shared" si="45"/>
        <v>2567</v>
      </c>
      <c r="V302" s="129" t="str">
        <f t="shared" si="27"/>
        <v>66</v>
      </c>
      <c r="W302" s="121">
        <f>COUNTIF('สำเนาของ 52-62 (สำหรับ จก.ตรวจเ'!$V$4:$V$286,V302)-1</f>
        <v>2</v>
      </c>
      <c r="X302" s="121" t="s">
        <v>1219</v>
      </c>
      <c r="Y302" s="121"/>
      <c r="Z302" s="121"/>
      <c r="AA302" s="121"/>
    </row>
    <row r="303" spans="1:27" ht="18.75">
      <c r="A303" s="88"/>
      <c r="B303" s="121">
        <v>6675</v>
      </c>
      <c r="C303" s="121" t="s">
        <v>191</v>
      </c>
      <c r="D303" s="88" t="s">
        <v>1226</v>
      </c>
      <c r="E303" s="121">
        <v>60</v>
      </c>
      <c r="F303" s="46" t="s">
        <v>1227</v>
      </c>
      <c r="G303" s="26" t="s">
        <v>78</v>
      </c>
      <c r="H303" s="122">
        <v>755000</v>
      </c>
      <c r="I303" s="123"/>
      <c r="J303" s="130" t="str">
        <f>HYPERLINK("https://drive.google.com/open?id=0B2vBTVEfSzItclIyZVFiazRaaHM","6675")</f>
        <v>6675</v>
      </c>
      <c r="K303" s="125"/>
      <c r="L303" s="148">
        <v>6675356816704</v>
      </c>
      <c r="M303" s="46"/>
      <c r="N303" s="126"/>
      <c r="O303" s="126"/>
      <c r="P303" s="126"/>
      <c r="Q303" s="126"/>
      <c r="R303" s="126"/>
      <c r="S303" s="126"/>
      <c r="T303" s="135">
        <v>10</v>
      </c>
      <c r="U303" s="135">
        <f t="shared" si="45"/>
        <v>2568</v>
      </c>
      <c r="V303" s="129" t="str">
        <f t="shared" si="27"/>
        <v>66</v>
      </c>
      <c r="W303" s="121">
        <f>COUNTIF($V$4:$V$286,V303)-1</f>
        <v>2</v>
      </c>
      <c r="X303" s="121"/>
      <c r="Y303" s="121"/>
      <c r="Z303" s="121"/>
      <c r="AA303" s="121"/>
    </row>
    <row r="304" spans="1:27" ht="18.75">
      <c r="A304" s="88"/>
      <c r="B304" s="121">
        <v>6675</v>
      </c>
      <c r="C304" s="121" t="s">
        <v>372</v>
      </c>
      <c r="D304" s="88" t="s">
        <v>1230</v>
      </c>
      <c r="E304" s="121">
        <v>58</v>
      </c>
      <c r="F304" s="46" t="s">
        <v>1231</v>
      </c>
      <c r="G304" s="26" t="s">
        <v>53</v>
      </c>
      <c r="H304" s="122">
        <v>850000</v>
      </c>
      <c r="I304" s="123"/>
      <c r="J304" s="130" t="str">
        <f>HYPERLINK("https://drive.google.com/open?id=0B2vBTVEfSzItazhLRnNHSTBOUVU","6675")</f>
        <v>6675</v>
      </c>
      <c r="K304" s="132" t="str">
        <f>HYPERLINK("https://drive.google.com/drive/folders/0BwQ57SNHxB3BcFJfdHFXV2VQcDQ","6675")</f>
        <v>6675</v>
      </c>
      <c r="L304" s="148">
        <v>6675356816706</v>
      </c>
      <c r="M304" s="46"/>
      <c r="N304" s="126"/>
      <c r="O304" s="126"/>
      <c r="P304" s="126"/>
      <c r="Q304" s="126"/>
      <c r="R304" s="126"/>
      <c r="S304" s="126"/>
      <c r="T304" s="135">
        <v>10</v>
      </c>
      <c r="U304" s="135">
        <f t="shared" si="45"/>
        <v>2566</v>
      </c>
      <c r="V304" s="129" t="str">
        <f t="shared" si="27"/>
        <v>66</v>
      </c>
      <c r="W304" s="121">
        <f>COUNTIF('สำเนาของ 52-62 (สำหรับ จก.ตรวจเ'!$V$4:$V$286,V304)-1</f>
        <v>2</v>
      </c>
      <c r="X304" s="121" t="s">
        <v>1234</v>
      </c>
      <c r="Y304" s="121"/>
      <c r="Z304" s="121"/>
      <c r="AA304" s="121"/>
    </row>
    <row r="305" spans="1:27" ht="18.75">
      <c r="A305" s="88"/>
      <c r="B305" s="121">
        <v>6675</v>
      </c>
      <c r="C305" s="121" t="s">
        <v>372</v>
      </c>
      <c r="D305" s="88" t="s">
        <v>1236</v>
      </c>
      <c r="E305" s="121">
        <v>60</v>
      </c>
      <c r="F305" s="46" t="s">
        <v>1237</v>
      </c>
      <c r="G305" s="26" t="s">
        <v>53</v>
      </c>
      <c r="H305" s="122">
        <v>650000</v>
      </c>
      <c r="I305" s="123"/>
      <c r="J305" s="130" t="str">
        <f>HYPERLINK("https://drive.google.com/open?id=0B2vBTVEfSzItVEpSYlJDLTBOOG8","6675")</f>
        <v>6675</v>
      </c>
      <c r="K305" s="125"/>
      <c r="L305" s="88" t="s">
        <v>1408</v>
      </c>
      <c r="M305" s="46"/>
      <c r="N305" s="126"/>
      <c r="O305" s="126"/>
      <c r="P305" s="126"/>
      <c r="Q305" s="126"/>
      <c r="R305" s="126"/>
      <c r="S305" s="126"/>
      <c r="T305" s="135">
        <v>10</v>
      </c>
      <c r="U305" s="135">
        <f t="shared" si="45"/>
        <v>2568</v>
      </c>
      <c r="V305" s="129" t="str">
        <f t="shared" si="27"/>
        <v>66</v>
      </c>
      <c r="W305" s="121">
        <f>COUNTIF('สำเนาของ 52-62 (สำหรับ จก.ตรวจเ'!$V$4:$V$286,V305)-1</f>
        <v>2</v>
      </c>
      <c r="X305" s="121" t="s">
        <v>1234</v>
      </c>
      <c r="Y305" s="121"/>
      <c r="Z305" s="121"/>
      <c r="AA305" s="121"/>
    </row>
    <row r="306" spans="1:27" ht="18.75">
      <c r="A306" s="88"/>
      <c r="B306" s="121">
        <v>6675</v>
      </c>
      <c r="C306" s="121" t="s">
        <v>372</v>
      </c>
      <c r="D306" s="88" t="s">
        <v>1238</v>
      </c>
      <c r="E306" s="121">
        <v>61</v>
      </c>
      <c r="F306" s="46" t="s">
        <v>1239</v>
      </c>
      <c r="G306" s="26" t="s">
        <v>78</v>
      </c>
      <c r="H306" s="122">
        <v>30000</v>
      </c>
      <c r="I306" s="123"/>
      <c r="J306" s="130" t="str">
        <f>HYPERLINK("https://drive.google.com/open?id=1iyiam8RIDV2BEjnnRtr6WsOXEZy718JF","6675")</f>
        <v>6675</v>
      </c>
      <c r="K306" s="125"/>
      <c r="L306" s="148" t="s">
        <v>1409</v>
      </c>
      <c r="M306" s="46"/>
      <c r="N306" s="126"/>
      <c r="O306" s="126"/>
      <c r="P306" s="126"/>
      <c r="Q306" s="126"/>
      <c r="R306" s="126"/>
      <c r="S306" s="126"/>
      <c r="T306" s="135"/>
      <c r="U306" s="128"/>
      <c r="V306" s="129" t="str">
        <f t="shared" si="27"/>
        <v>66</v>
      </c>
      <c r="W306" s="121">
        <f>COUNTIF('สำเนาของ 52-62 (สำหรับ จก.ตรวจเ'!$V$4:$V$286,V306)-1</f>
        <v>2</v>
      </c>
      <c r="X306" s="121" t="s">
        <v>1232</v>
      </c>
      <c r="Y306" s="121"/>
      <c r="Z306" s="121"/>
      <c r="AA306" s="121"/>
    </row>
    <row r="307" spans="1:27" ht="18.75">
      <c r="A307" s="88"/>
      <c r="B307" s="121">
        <v>6675</v>
      </c>
      <c r="C307" s="121" t="s">
        <v>372</v>
      </c>
      <c r="D307" s="88" t="s">
        <v>1242</v>
      </c>
      <c r="E307" s="121">
        <v>61</v>
      </c>
      <c r="F307" s="46" t="s">
        <v>1243</v>
      </c>
      <c r="G307" s="26" t="s">
        <v>53</v>
      </c>
      <c r="H307" s="122">
        <v>250000</v>
      </c>
      <c r="I307" s="123">
        <v>43268</v>
      </c>
      <c r="J307" s="130" t="str">
        <f>HYPERLINK("https://drive.google.com/open?id=1DrssG8Ed8KOxsyb06aQZ1bhIP2cWM5fM","6675")</f>
        <v>6675</v>
      </c>
      <c r="K307" s="125"/>
      <c r="L307" s="148">
        <v>6675356816705</v>
      </c>
      <c r="M307" s="155"/>
      <c r="N307" s="126"/>
      <c r="O307" s="126"/>
      <c r="P307" s="126"/>
      <c r="Q307" s="126"/>
      <c r="R307" s="126"/>
      <c r="S307" s="126"/>
      <c r="T307" s="135">
        <v>10</v>
      </c>
      <c r="U307" s="135">
        <f>E307+T307-2+2500</f>
        <v>2569</v>
      </c>
      <c r="V307" s="129" t="str">
        <f t="shared" si="27"/>
        <v>66</v>
      </c>
      <c r="W307" s="121">
        <f>COUNTIF('สำเนาของ 52-62 (สำหรับ จก.ตรวจเ'!$V$4:$V$286,V307)-1</f>
        <v>2</v>
      </c>
      <c r="X307" s="121" t="s">
        <v>1232</v>
      </c>
      <c r="Y307" s="121"/>
      <c r="Z307" s="121"/>
      <c r="AA307" s="121"/>
    </row>
    <row r="308" spans="1:27" ht="18.75">
      <c r="A308" s="88"/>
      <c r="B308" s="121">
        <v>6680</v>
      </c>
      <c r="C308" s="121" t="s">
        <v>256</v>
      </c>
      <c r="D308" s="88" t="s">
        <v>1249</v>
      </c>
      <c r="E308" s="121">
        <v>54</v>
      </c>
      <c r="F308" s="46" t="s">
        <v>1250</v>
      </c>
      <c r="G308" s="26" t="s">
        <v>78</v>
      </c>
      <c r="H308" s="122">
        <v>47000</v>
      </c>
      <c r="I308" s="123"/>
      <c r="J308" s="130" t="str">
        <f>HYPERLINK("https://drive.google.com/open?id=0B2rLR4BADrBtRHRoZHlqX1Q1SVE","6680")</f>
        <v>6680</v>
      </c>
      <c r="K308" s="132" t="str">
        <f>HYPERLINK("https://drive.google.com/drive/folders/0BwQ57SNHxB3Bal9ocWVaMGE1UEU","6680")</f>
        <v>6680</v>
      </c>
      <c r="L308" s="125"/>
      <c r="M308" s="46"/>
      <c r="N308" s="126"/>
      <c r="O308" s="126"/>
      <c r="P308" s="126"/>
      <c r="Q308" s="126"/>
      <c r="R308" s="126"/>
      <c r="S308" s="126"/>
      <c r="T308" s="128">
        <v>10</v>
      </c>
      <c r="U308" s="128">
        <f>E308+T308-2+2500</f>
        <v>2562</v>
      </c>
      <c r="V308" s="129" t="str">
        <f t="shared" si="27"/>
        <v>66</v>
      </c>
      <c r="W308" s="121">
        <f>COUNTIF('สำเนาของ 52-62 (สำหรับ จก.ตรวจเ'!$V$4:$V$286,V308)-1</f>
        <v>2</v>
      </c>
      <c r="X308" s="121"/>
      <c r="Y308" s="121"/>
      <c r="Z308" s="121"/>
      <c r="AA308" s="121"/>
    </row>
    <row r="309" spans="1:27" ht="18.75">
      <c r="A309" s="88"/>
      <c r="B309" s="121">
        <v>6680</v>
      </c>
      <c r="C309" s="121" t="s">
        <v>157</v>
      </c>
      <c r="D309" s="88" t="s">
        <v>1251</v>
      </c>
      <c r="E309" s="121">
        <v>55</v>
      </c>
      <c r="F309" s="46" t="s">
        <v>1252</v>
      </c>
      <c r="G309" s="26" t="s">
        <v>53</v>
      </c>
      <c r="H309" s="122">
        <v>4500</v>
      </c>
      <c r="I309" s="123"/>
      <c r="J309" s="130" t="str">
        <f>HYPERLINK("https://drive.google.com/open?id=0B2rLR4BADrBtdWNDWjVPdDMwb1E","6680")</f>
        <v>6680</v>
      </c>
      <c r="K309" s="132" t="str">
        <f>HYPERLINK("https://drive.google.com/drive/folders/0BwQ57SNHxB3Bal9ocWVaMGE1UEU","6680")</f>
        <v>6680</v>
      </c>
      <c r="L309" s="125"/>
      <c r="M309" s="93"/>
      <c r="N309" s="126"/>
      <c r="O309" s="126"/>
      <c r="P309" s="126"/>
      <c r="Q309" s="126"/>
      <c r="R309" s="126"/>
      <c r="S309" s="126"/>
      <c r="T309" s="135">
        <v>10</v>
      </c>
      <c r="U309" s="135">
        <f>E309+T309-2+2500</f>
        <v>2563</v>
      </c>
      <c r="V309" s="129" t="str">
        <f t="shared" si="27"/>
        <v>66</v>
      </c>
      <c r="W309" s="121">
        <f>COUNTIF($V$4:$V$286,V309)-1</f>
        <v>2</v>
      </c>
      <c r="X309" s="121"/>
      <c r="Y309" s="121"/>
      <c r="Z309" s="121"/>
      <c r="AA309" s="121"/>
    </row>
    <row r="310" spans="1:27" ht="18.75">
      <c r="A310" s="88"/>
      <c r="B310" s="121">
        <v>6685</v>
      </c>
      <c r="C310" s="121" t="s">
        <v>37</v>
      </c>
      <c r="D310" s="88" t="s">
        <v>1253</v>
      </c>
      <c r="E310" s="121">
        <v>58</v>
      </c>
      <c r="F310" s="46" t="s">
        <v>1254</v>
      </c>
      <c r="G310" s="26" t="s">
        <v>78</v>
      </c>
      <c r="H310" s="122">
        <v>225000</v>
      </c>
      <c r="I310" s="123"/>
      <c r="J310" s="130" t="str">
        <f>HYPERLINK("https://drive.google.com/open?id=0B2vBTVEfSzItd0hzdXNfNWtMM2M","6685")</f>
        <v>6685</v>
      </c>
      <c r="K310" s="133" t="str">
        <f>HYPERLINK("https://drive.google.com/drive/u/0/folders/0BwQ57SNHxB3BeEQtdlBiUmUyUk0","6685")</f>
        <v>6685</v>
      </c>
      <c r="L310" s="134"/>
      <c r="M310" s="46"/>
      <c r="N310" s="126"/>
      <c r="O310" s="126"/>
      <c r="P310" s="126"/>
      <c r="Q310" s="126"/>
      <c r="R310" s="126"/>
      <c r="S310" s="126"/>
      <c r="T310" s="135"/>
      <c r="U310" s="135">
        <f>E310+T310-2+2500</f>
        <v>2556</v>
      </c>
      <c r="V310" s="129" t="str">
        <f t="shared" si="27"/>
        <v>66</v>
      </c>
      <c r="W310" s="121">
        <f>COUNTIF('สำเนาของ 52-62 (สำหรับ จก.ตรวจเ'!$V$4:$V$286,V310)-1</f>
        <v>2</v>
      </c>
      <c r="X310" s="121"/>
      <c r="Y310" s="121"/>
      <c r="Z310" s="121"/>
      <c r="AA310" s="121"/>
    </row>
    <row r="311" spans="1:27" ht="18.75">
      <c r="A311" s="88"/>
      <c r="B311" s="121">
        <v>6695</v>
      </c>
      <c r="C311" s="121" t="s">
        <v>157</v>
      </c>
      <c r="D311" s="88" t="s">
        <v>1255</v>
      </c>
      <c r="E311" s="121">
        <v>62</v>
      </c>
      <c r="F311" s="46" t="s">
        <v>1256</v>
      </c>
      <c r="G311" s="26" t="s">
        <v>78</v>
      </c>
      <c r="H311" s="122">
        <v>9500</v>
      </c>
      <c r="I311" s="123"/>
      <c r="J311" s="131" t="str">
        <f>HYPERLINK("https://drive.google.com/file/d/1ymMdYkuNaWZGlzs7VPDQ1GooOKMkQq92/view?usp=sharing","6695")</f>
        <v>6695</v>
      </c>
      <c r="K311" s="125"/>
      <c r="L311" s="125"/>
      <c r="M311" s="46"/>
      <c r="N311" s="126"/>
      <c r="O311" s="126"/>
      <c r="P311" s="126"/>
      <c r="Q311" s="126"/>
      <c r="R311" s="126"/>
      <c r="S311" s="126"/>
      <c r="T311" s="128"/>
      <c r="U311" s="128"/>
      <c r="V311" s="129"/>
      <c r="W311" s="121"/>
      <c r="X311" s="121"/>
      <c r="Y311" s="121"/>
      <c r="Z311" s="121"/>
      <c r="AA311" s="121"/>
    </row>
    <row r="312" spans="1:27" ht="18.75">
      <c r="A312" s="120"/>
      <c r="B312" s="118">
        <v>6800</v>
      </c>
      <c r="C312" s="119"/>
      <c r="D312" s="117" t="str">
        <f>"พัสดุ"&amp; VLOOKUP(V312,'เลขSpec.2 ตัวแรก'!$A$2:$B$100,2,FALSE)&amp; " จำนวน "&amp;W312&amp;" รายการ"</f>
        <v>พัสดุหมวด 68 เคมีภัณฑ์และผลิตภัณฑ์เคมี จำนวน -1 รายการ</v>
      </c>
      <c r="E312" s="117"/>
      <c r="F312" s="117"/>
      <c r="G312" s="118"/>
      <c r="H312" s="117"/>
      <c r="I312" s="117"/>
      <c r="J312" s="117"/>
      <c r="K312" s="117"/>
      <c r="L312" s="117"/>
      <c r="M312" s="120"/>
      <c r="N312" s="120"/>
      <c r="O312" s="119"/>
      <c r="P312" s="117"/>
      <c r="Q312" s="117"/>
      <c r="R312" s="117"/>
      <c r="S312" s="118"/>
      <c r="T312" s="117"/>
      <c r="U312" s="117"/>
      <c r="V312" s="117" t="str">
        <f t="shared" ref="V312:V324" si="46">LEFT(B312, SEARCH("",B312,2))</f>
        <v>68</v>
      </c>
      <c r="W312" s="117">
        <f>COUNTIF($V$4:$V$286,V312)-1</f>
        <v>-1</v>
      </c>
      <c r="X312" s="117"/>
      <c r="Y312" s="24"/>
      <c r="Z312" s="24"/>
      <c r="AA312" s="24"/>
    </row>
    <row r="313" spans="1:27" ht="18.75">
      <c r="A313" s="88"/>
      <c r="B313" s="121">
        <v>6810</v>
      </c>
      <c r="C313" s="121" t="s">
        <v>683</v>
      </c>
      <c r="D313" s="88" t="s">
        <v>1257</v>
      </c>
      <c r="E313" s="121">
        <v>53</v>
      </c>
      <c r="F313" s="46" t="s">
        <v>1258</v>
      </c>
      <c r="G313" s="26" t="s">
        <v>1259</v>
      </c>
      <c r="H313" s="122">
        <v>6500</v>
      </c>
      <c r="I313" s="123"/>
      <c r="J313" s="130" t="str">
        <f>HYPERLINK("https://drive.google.com/open?id=0B2vBTVEfSzItZVlEQUM4ZUlROEU","6810")</f>
        <v>6810</v>
      </c>
      <c r="K313" s="132" t="str">
        <f>HYPERLINK("https://drive.google.com/drive/folders/0BwQ57SNHxB3BT3Z1N0FNcVRpZW8","6810")</f>
        <v>6810</v>
      </c>
      <c r="L313" s="125"/>
      <c r="M313" s="46"/>
      <c r="N313" s="126"/>
      <c r="O313" s="126"/>
      <c r="P313" s="126"/>
      <c r="Q313" s="126"/>
      <c r="R313" s="126"/>
      <c r="S313" s="126"/>
      <c r="T313" s="135" t="e">
        <f>#REF!</f>
        <v>#REF!</v>
      </c>
      <c r="U313" s="128" t="e">
        <f>E313+T313-2+2500</f>
        <v>#REF!</v>
      </c>
      <c r="V313" s="129" t="str">
        <f t="shared" si="46"/>
        <v>68</v>
      </c>
      <c r="W313" s="121">
        <f>COUNTIF($V$4:$V$286,V313)-1</f>
        <v>-1</v>
      </c>
      <c r="X313" s="121"/>
      <c r="Y313" s="121"/>
      <c r="Z313" s="121"/>
      <c r="AA313" s="121"/>
    </row>
    <row r="314" spans="1:27" ht="18.75">
      <c r="A314" s="141"/>
      <c r="B314" s="121">
        <v>6840</v>
      </c>
      <c r="C314" s="121" t="s">
        <v>191</v>
      </c>
      <c r="D314" s="88" t="s">
        <v>852</v>
      </c>
      <c r="E314" s="121">
        <v>54</v>
      </c>
      <c r="F314" s="24" t="s">
        <v>1260</v>
      </c>
      <c r="G314" s="26" t="s">
        <v>1261</v>
      </c>
      <c r="H314" s="122">
        <v>380</v>
      </c>
      <c r="I314" s="139"/>
      <c r="J314" s="156"/>
      <c r="K314" s="132" t="str">
        <f>HYPERLINK("https://drive.google.com/drive/folders/0BwQ57SNHxB3BbFU1ejZzQmxkVjg","6840")</f>
        <v>6840</v>
      </c>
      <c r="L314" s="141"/>
      <c r="M314" s="150"/>
      <c r="N314" s="142"/>
      <c r="O314" s="142"/>
      <c r="P314" s="142"/>
      <c r="Q314" s="142"/>
      <c r="R314" s="142"/>
      <c r="S314" s="142"/>
      <c r="T314" s="135" t="e">
        <f>T313</f>
        <v>#REF!</v>
      </c>
      <c r="U314" s="135" t="e">
        <f>E314+T314-2+2500</f>
        <v>#REF!</v>
      </c>
      <c r="V314" s="129" t="str">
        <f t="shared" si="46"/>
        <v>68</v>
      </c>
      <c r="W314" s="121">
        <f>COUNTIF($V$5:$V$364,V314)-1</f>
        <v>4</v>
      </c>
      <c r="X314" s="142"/>
      <c r="Y314" s="142"/>
      <c r="Z314" s="142"/>
      <c r="AA314" s="121"/>
    </row>
    <row r="315" spans="1:27" ht="18.75">
      <c r="A315" s="88"/>
      <c r="B315" s="121">
        <v>6840</v>
      </c>
      <c r="C315" s="121" t="s">
        <v>191</v>
      </c>
      <c r="D315" s="88" t="s">
        <v>1262</v>
      </c>
      <c r="E315" s="121">
        <v>58</v>
      </c>
      <c r="F315" s="46" t="s">
        <v>856</v>
      </c>
      <c r="G315" s="26" t="s">
        <v>1263</v>
      </c>
      <c r="H315" s="122">
        <v>750</v>
      </c>
      <c r="I315" s="123"/>
      <c r="J315" s="130" t="str">
        <f>HYPERLINK("https://drive.google.com/open?id=0B2rLR4BADrBtUUVUajNPRTFLZUk","6840")</f>
        <v>6840</v>
      </c>
      <c r="K315" s="132" t="str">
        <f>HYPERLINK("https://drive.google.com/drive/folders/0BwQ57SNHxB3BbFU1ejZzQmxkVjg","6840")</f>
        <v>6840</v>
      </c>
      <c r="L315" s="125"/>
      <c r="M315" s="46"/>
      <c r="N315" s="126"/>
      <c r="O315" s="126"/>
      <c r="P315" s="126"/>
      <c r="Q315" s="126"/>
      <c r="R315" s="126"/>
      <c r="S315" s="126"/>
      <c r="T315" s="135" t="e">
        <f>#REF!</f>
        <v>#REF!</v>
      </c>
      <c r="U315" s="135" t="e">
        <f>E315+T315-2+2500</f>
        <v>#REF!</v>
      </c>
      <c r="V315" s="129" t="str">
        <f t="shared" si="46"/>
        <v>68</v>
      </c>
      <c r="W315" s="121">
        <f>COUNTIF($V$4:$V$286,V315)-1</f>
        <v>-1</v>
      </c>
      <c r="X315" s="121"/>
      <c r="Y315" s="121"/>
      <c r="Z315" s="121"/>
      <c r="AA315" s="121"/>
    </row>
    <row r="316" spans="1:27" ht="18.75">
      <c r="A316" s="88"/>
      <c r="B316" s="121">
        <v>6840</v>
      </c>
      <c r="C316" s="121" t="s">
        <v>191</v>
      </c>
      <c r="D316" s="88" t="s">
        <v>1264</v>
      </c>
      <c r="E316" s="121">
        <v>58</v>
      </c>
      <c r="F316" s="46" t="s">
        <v>1265</v>
      </c>
      <c r="G316" s="26" t="s">
        <v>1266</v>
      </c>
      <c r="H316" s="122">
        <v>1000</v>
      </c>
      <c r="I316" s="123"/>
      <c r="J316" s="130" t="str">
        <f>HYPERLINK("https://drive.google.com/open?id=0B2vBTVEfSzItfnpkNEtkT0txY1NGOGk0OU1GRXRiYXdtUnZDUXVWeTM4QTJGOUxSTERvSk0","6840")</f>
        <v>6840</v>
      </c>
      <c r="K316" s="132" t="str">
        <f>HYPERLINK("https://drive.google.com/drive/folders/0BwQ57SNHxB3BbFU1ejZzQmxkVjg","6840")</f>
        <v>6840</v>
      </c>
      <c r="L316" s="125"/>
      <c r="M316" s="46"/>
      <c r="N316" s="126"/>
      <c r="O316" s="126"/>
      <c r="P316" s="126"/>
      <c r="Q316" s="126"/>
      <c r="R316" s="126"/>
      <c r="S316" s="126"/>
      <c r="T316" s="135" t="e">
        <f>T315</f>
        <v>#REF!</v>
      </c>
      <c r="U316" s="128" t="e">
        <f>E316+T316-2+2500</f>
        <v>#REF!</v>
      </c>
      <c r="V316" s="129" t="str">
        <f t="shared" si="46"/>
        <v>68</v>
      </c>
      <c r="W316" s="121">
        <f>COUNTIF($V$4:$V$286,V316)-1</f>
        <v>-1</v>
      </c>
      <c r="X316" s="121"/>
      <c r="Y316" s="121"/>
      <c r="Z316" s="121"/>
      <c r="AA316" s="24"/>
    </row>
    <row r="317" spans="1:27" ht="18.75">
      <c r="A317" s="117"/>
      <c r="B317" s="117">
        <v>7200</v>
      </c>
      <c r="C317" s="120"/>
      <c r="D317" s="120" t="str">
        <f>"พัสดุ"&amp; VLOOKUP(V317,'เลขSpec.2 ตัวแรก'!$A$2:$B$100,2,FALSE)&amp; " จำนวน "&amp;W317&amp;" รายการ"</f>
        <v>พัสดุหมวด 72 เครื่องใช้และเครื่องตบแต่งที่ใช้ในบ้านและร้านค้า จำนวน -1 รายการ</v>
      </c>
      <c r="E317" s="119"/>
      <c r="F317" s="117"/>
      <c r="G317" s="117"/>
      <c r="H317" s="117"/>
      <c r="I317" s="118"/>
      <c r="J317" s="117"/>
      <c r="K317" s="117"/>
      <c r="L317" s="117"/>
      <c r="M317" s="117"/>
      <c r="N317" s="117"/>
      <c r="O317" s="120"/>
      <c r="P317" s="119"/>
      <c r="Q317" s="119"/>
      <c r="R317" s="117"/>
      <c r="S317" s="117"/>
      <c r="T317" s="117"/>
      <c r="U317" s="118"/>
      <c r="V317" s="117" t="str">
        <f t="shared" si="46"/>
        <v>72</v>
      </c>
      <c r="W317" s="117">
        <f>COUNTIF($V$4:$V$286,V317)-1</f>
        <v>-1</v>
      </c>
      <c r="X317" s="117"/>
      <c r="Y317" s="24"/>
      <c r="Z317" s="24"/>
      <c r="AA317" s="24"/>
    </row>
    <row r="318" spans="1:27" ht="18.75">
      <c r="A318" s="117"/>
      <c r="B318" s="117">
        <v>8400</v>
      </c>
      <c r="C318" s="120"/>
      <c r="D318" s="120" t="str">
        <f>"พัสดุ"&amp; VLOOKUP(V318,'เลขSpec.2 ตัวแรก'!$A$2:$B$100,2,FALSE)&amp; " จำนวน "&amp;W318&amp;" รายการ"</f>
        <v>พัสดุหมวด 84 อาภรณ์ภัณฑ์ บริภัณฑ์ประจำกายและเครื่องหมาย จำนวน -1 รายการ</v>
      </c>
      <c r="E318" s="119"/>
      <c r="F318" s="117"/>
      <c r="G318" s="117"/>
      <c r="H318" s="117"/>
      <c r="I318" s="118"/>
      <c r="J318" s="117"/>
      <c r="K318" s="117"/>
      <c r="L318" s="117"/>
      <c r="M318" s="117"/>
      <c r="N318" s="117"/>
      <c r="O318" s="120"/>
      <c r="P318" s="119"/>
      <c r="Q318" s="119"/>
      <c r="R318" s="117"/>
      <c r="S318" s="117"/>
      <c r="T318" s="117"/>
      <c r="U318" s="118"/>
      <c r="V318" s="117" t="str">
        <f t="shared" si="46"/>
        <v>84</v>
      </c>
      <c r="W318" s="117">
        <f>COUNTIF($V$4:$V$286,V318)-1</f>
        <v>-1</v>
      </c>
      <c r="X318" s="117"/>
      <c r="Y318" s="24"/>
      <c r="Z318" s="24"/>
      <c r="AA318" s="24"/>
    </row>
    <row r="319" spans="1:27" ht="18.75">
      <c r="A319" s="88"/>
      <c r="B319" s="121">
        <v>8415</v>
      </c>
      <c r="C319" s="121" t="s">
        <v>683</v>
      </c>
      <c r="D319" s="88" t="s">
        <v>1267</v>
      </c>
      <c r="E319" s="121">
        <v>61</v>
      </c>
      <c r="F319" s="46" t="s">
        <v>741</v>
      </c>
      <c r="G319" s="26" t="s">
        <v>53</v>
      </c>
      <c r="H319" s="122">
        <v>140000</v>
      </c>
      <c r="I319" s="123"/>
      <c r="J319" s="130" t="str">
        <f>HYPERLINK("https://drive.google.com/open?id=1_OQhYdjTjEsn6yEd9nLL-ks_irf9DRZD","8415")</f>
        <v>8415</v>
      </c>
      <c r="K319" s="125"/>
      <c r="L319" s="125"/>
      <c r="M319" s="46"/>
      <c r="N319" s="126"/>
      <c r="O319" s="126"/>
      <c r="P319" s="126"/>
      <c r="Q319" s="126"/>
      <c r="R319" s="126"/>
      <c r="S319" s="126"/>
      <c r="T319" s="128"/>
      <c r="U319" s="128"/>
      <c r="V319" s="129" t="str">
        <f t="shared" si="46"/>
        <v>84</v>
      </c>
      <c r="W319" s="121">
        <f>COUNTIF($V$4:$V408,V319)-1</f>
        <v>3</v>
      </c>
      <c r="X319" s="121"/>
      <c r="Y319" s="121"/>
      <c r="Z319" s="121"/>
      <c r="AA319" s="121"/>
    </row>
    <row r="320" spans="1:27" ht="18.75">
      <c r="A320" s="88"/>
      <c r="B320" s="121">
        <v>8415</v>
      </c>
      <c r="C320" s="121" t="s">
        <v>683</v>
      </c>
      <c r="D320" s="88" t="s">
        <v>1268</v>
      </c>
      <c r="E320" s="121">
        <v>61</v>
      </c>
      <c r="F320" s="46" t="s">
        <v>745</v>
      </c>
      <c r="G320" s="26" t="s">
        <v>53</v>
      </c>
      <c r="H320" s="122">
        <v>120000</v>
      </c>
      <c r="I320" s="123"/>
      <c r="J320" s="130" t="str">
        <f>HYPERLINK("https://drive.google.com/open?id=1t1JMCluRh6FjFp5E5AHXuepo0w1yFv1i","8415")</f>
        <v>8415</v>
      </c>
      <c r="K320" s="125"/>
      <c r="L320" s="125"/>
      <c r="M320" s="46"/>
      <c r="N320" s="126"/>
      <c r="O320" s="126"/>
      <c r="P320" s="126"/>
      <c r="Q320" s="126"/>
      <c r="R320" s="126"/>
      <c r="S320" s="126"/>
      <c r="T320" s="128"/>
      <c r="U320" s="128"/>
      <c r="V320" s="129" t="str">
        <f t="shared" si="46"/>
        <v>84</v>
      </c>
      <c r="W320" s="121">
        <f>COUNTIF($V$4:$V$286,V320)-1</f>
        <v>-1</v>
      </c>
      <c r="X320" s="121"/>
      <c r="Y320" s="121"/>
      <c r="Z320" s="121"/>
      <c r="AA320" s="121"/>
    </row>
    <row r="321" spans="1:27" ht="18.75">
      <c r="A321" s="88"/>
      <c r="B321" s="121">
        <v>8415</v>
      </c>
      <c r="C321" s="121" t="s">
        <v>683</v>
      </c>
      <c r="D321" s="88" t="s">
        <v>1269</v>
      </c>
      <c r="E321" s="121">
        <v>52</v>
      </c>
      <c r="F321" s="46" t="s">
        <v>1270</v>
      </c>
      <c r="G321" s="26" t="s">
        <v>53</v>
      </c>
      <c r="H321" s="122">
        <v>33000</v>
      </c>
      <c r="I321" s="123"/>
      <c r="J321" s="130" t="str">
        <f>HYPERLINK("https://drive.google.com/open?id=0B2rLR4BADrBtU2ZtLVlCVkxYWDA","8415")</f>
        <v>8415</v>
      </c>
      <c r="K321" s="132" t="str">
        <f>HYPERLINK("https://drive.google.com/drive/folders/0BwQ57SNHxB3BQ0RQZ3ZSNnczWnM","8415")</f>
        <v>8415</v>
      </c>
      <c r="L321" s="125"/>
      <c r="M321" s="46"/>
      <c r="N321" s="126"/>
      <c r="O321" s="126"/>
      <c r="P321" s="126"/>
      <c r="Q321" s="126"/>
      <c r="R321" s="126"/>
      <c r="S321" s="126"/>
      <c r="T321" s="128">
        <v>15</v>
      </c>
      <c r="U321" s="128">
        <f>E321+T321-2+2500</f>
        <v>2565</v>
      </c>
      <c r="V321" s="129" t="str">
        <f t="shared" si="46"/>
        <v>84</v>
      </c>
      <c r="W321" s="121">
        <f>COUNTIF('สำเนาของ 52-62 (สำหรับ จก.ตรวจเ'!$V$4:$V$286,V321)-1</f>
        <v>-1</v>
      </c>
      <c r="X321" s="121"/>
      <c r="Y321" s="121"/>
      <c r="Z321" s="121"/>
      <c r="AA321" s="24"/>
    </row>
    <row r="322" spans="1:27" ht="18.75">
      <c r="A322" s="117"/>
      <c r="B322" s="117">
        <v>9900</v>
      </c>
      <c r="C322" s="120"/>
      <c r="D322" s="120" t="str">
        <f>"พัสดุ"&amp; VLOOKUP(V322,'เลขSpec.2 ตัวแรก'!$A$2:$B$100,2,FALSE)&amp; " จำนวน "&amp;W322&amp;" รายการ"</f>
        <v>พัสดุหมวด 99 เบ็ดเตล็ด จำนวน 2 รายการ</v>
      </c>
      <c r="E322" s="119"/>
      <c r="F322" s="117"/>
      <c r="G322" s="117"/>
      <c r="H322" s="117"/>
      <c r="I322" s="118"/>
      <c r="J322" s="117"/>
      <c r="K322" s="117"/>
      <c r="L322" s="117"/>
      <c r="M322" s="117"/>
      <c r="N322" s="117"/>
      <c r="O322" s="120"/>
      <c r="P322" s="119"/>
      <c r="Q322" s="119"/>
      <c r="R322" s="117"/>
      <c r="S322" s="117"/>
      <c r="T322" s="117"/>
      <c r="U322" s="118"/>
      <c r="V322" s="117" t="str">
        <f t="shared" si="46"/>
        <v>99</v>
      </c>
      <c r="W322" s="117">
        <f>COUNTIF($V$4:$V408,V322)-1</f>
        <v>2</v>
      </c>
      <c r="X322" s="117"/>
      <c r="Y322" s="24"/>
      <c r="Z322" s="24"/>
      <c r="AA322" s="24"/>
    </row>
    <row r="323" spans="1:27" ht="18.75">
      <c r="A323" s="88"/>
      <c r="B323" s="121">
        <v>9999</v>
      </c>
      <c r="C323" s="121" t="s">
        <v>191</v>
      </c>
      <c r="D323" s="88" t="s">
        <v>1274</v>
      </c>
      <c r="E323" s="121">
        <v>54</v>
      </c>
      <c r="F323" s="46" t="s">
        <v>1275</v>
      </c>
      <c r="G323" s="26" t="s">
        <v>358</v>
      </c>
      <c r="H323" s="122">
        <v>45000</v>
      </c>
      <c r="I323" s="123"/>
      <c r="J323" s="130" t="str">
        <f>HYPERLINK("https://drive.google.com/open?id=0B2rLR4BADrBtTHl3SUpERXFjMWM","9999")</f>
        <v>9999</v>
      </c>
      <c r="K323" s="132" t="str">
        <f>HYPERLINK("https://drive.google.com/drive/folders/0BwQ57SNHxB3BUnd5ZGZPV0NZU1k","9999")</f>
        <v>9999</v>
      </c>
      <c r="L323" s="125"/>
      <c r="M323" s="46"/>
      <c r="N323" s="126"/>
      <c r="O323" s="126"/>
      <c r="P323" s="126"/>
      <c r="Q323" s="126"/>
      <c r="R323" s="126"/>
      <c r="S323" s="126"/>
      <c r="T323" s="128">
        <v>30</v>
      </c>
      <c r="U323" s="128">
        <f>E323+T323-2+2500</f>
        <v>2582</v>
      </c>
      <c r="V323" s="129" t="str">
        <f t="shared" si="46"/>
        <v>99</v>
      </c>
      <c r="W323" s="121">
        <f>COUNTIF('สำเนาของ 52-62 (สำหรับ จก.ตรวจเ'!$V$4:$V408,V323)-1</f>
        <v>2</v>
      </c>
      <c r="X323" s="121"/>
      <c r="Y323" s="121"/>
      <c r="Z323" s="121"/>
      <c r="AA323" s="121"/>
    </row>
    <row r="324" spans="1:27" ht="18.75">
      <c r="A324" s="88"/>
      <c r="B324" s="121">
        <v>9999</v>
      </c>
      <c r="C324" s="121" t="s">
        <v>63</v>
      </c>
      <c r="D324" s="88" t="s">
        <v>1278</v>
      </c>
      <c r="E324" s="121">
        <v>58</v>
      </c>
      <c r="F324" s="46" t="s">
        <v>1279</v>
      </c>
      <c r="G324" s="26" t="s">
        <v>28</v>
      </c>
      <c r="H324" s="122">
        <v>9600000</v>
      </c>
      <c r="I324" s="123"/>
      <c r="J324" s="130" t="str">
        <f>HYPERLINK("https://drive.google.com/open?id=0B2vBTVEfSzItM2k1MVBkRnpsMmc","1-58")</f>
        <v>1-58</v>
      </c>
      <c r="K324" s="152"/>
      <c r="L324" s="152"/>
      <c r="M324" s="136"/>
      <c r="N324" s="126"/>
      <c r="O324" s="126"/>
      <c r="P324" s="126"/>
      <c r="Q324" s="126"/>
      <c r="R324" s="126"/>
      <c r="S324" s="126"/>
      <c r="T324" s="128">
        <v>20</v>
      </c>
      <c r="U324" s="128">
        <f>E324+T324-2+2500</f>
        <v>2576</v>
      </c>
      <c r="V324" s="129" t="str">
        <f t="shared" si="46"/>
        <v>99</v>
      </c>
      <c r="W324" s="121">
        <f t="shared" ref="W324:W406" si="47">COUNTIF($V$4:$V408,V324)-1</f>
        <v>2</v>
      </c>
      <c r="X324" s="121"/>
      <c r="Y324" s="121"/>
      <c r="Z324" s="121"/>
      <c r="AA324" s="24"/>
    </row>
    <row r="325" spans="1:27" ht="18.75">
      <c r="A325" s="117"/>
      <c r="B325" s="117">
        <v>10000</v>
      </c>
      <c r="C325" s="120"/>
      <c r="D325" s="120"/>
      <c r="E325" s="119"/>
      <c r="F325" s="117"/>
      <c r="G325" s="117"/>
      <c r="H325" s="117"/>
      <c r="I325" s="118"/>
      <c r="J325" s="117"/>
      <c r="K325" s="117"/>
      <c r="L325" s="117"/>
      <c r="M325" s="117"/>
      <c r="N325" s="117"/>
      <c r="O325" s="120"/>
      <c r="P325" s="119"/>
      <c r="Q325" s="119"/>
      <c r="R325" s="117"/>
      <c r="S325" s="117"/>
      <c r="T325" s="117"/>
      <c r="U325" s="118"/>
      <c r="V325" s="117" t="str">
        <f t="shared" ref="V325:V406" si="48">LEFT(B325, SEARCH("",B325,3))</f>
        <v>100</v>
      </c>
      <c r="W325" s="117">
        <f t="shared" si="47"/>
        <v>81</v>
      </c>
      <c r="X325" s="117"/>
      <c r="Y325" s="24"/>
      <c r="Z325" s="24"/>
      <c r="AA325" s="24"/>
    </row>
    <row r="326" spans="1:27" ht="37.5">
      <c r="A326" s="88"/>
      <c r="B326" s="121" t="s">
        <v>1282</v>
      </c>
      <c r="C326" s="121" t="s">
        <v>25</v>
      </c>
      <c r="D326" s="88" t="s">
        <v>26</v>
      </c>
      <c r="E326" s="24"/>
      <c r="F326" s="24" t="s">
        <v>1390</v>
      </c>
      <c r="G326" s="26" t="s">
        <v>53</v>
      </c>
      <c r="H326" s="122">
        <v>8500</v>
      </c>
      <c r="I326" s="123"/>
      <c r="J326" s="131" t="str">
        <f t="shared" ref="J326:J408" si="49">HYPERLINK("https://drive.google.com/open?id=1uRKauPNhvZ-Kx2o2zLSRMFbmPZrJaKkb","จากบัญชีของ สน.งปฯ ธ.ค.61")</f>
        <v>จากบัญชีของ สน.งปฯ ธ.ค.61</v>
      </c>
      <c r="K326" s="152"/>
      <c r="L326" s="152"/>
      <c r="M326" s="24"/>
      <c r="N326" s="126"/>
      <c r="O326" s="126"/>
      <c r="P326" s="126"/>
      <c r="Q326" s="126"/>
      <c r="R326" s="126"/>
      <c r="S326" s="126"/>
      <c r="T326" s="128"/>
      <c r="U326" s="128"/>
      <c r="V326" s="129" t="str">
        <f t="shared" si="48"/>
        <v>100</v>
      </c>
      <c r="W326" s="121">
        <f t="shared" si="47"/>
        <v>81</v>
      </c>
      <c r="X326" s="121"/>
      <c r="Y326" s="121"/>
      <c r="Z326" s="121"/>
      <c r="AA326" s="121"/>
    </row>
    <row r="327" spans="1:27" ht="37.5">
      <c r="A327" s="88"/>
      <c r="B327" s="121" t="s">
        <v>1283</v>
      </c>
      <c r="C327" s="121" t="s">
        <v>25</v>
      </c>
      <c r="D327" s="88" t="s">
        <v>26</v>
      </c>
      <c r="E327" s="24"/>
      <c r="F327" s="24" t="s">
        <v>1391</v>
      </c>
      <c r="G327" s="26" t="s">
        <v>53</v>
      </c>
      <c r="H327" s="122">
        <v>12000</v>
      </c>
      <c r="I327" s="123"/>
      <c r="J327" s="131" t="str">
        <f t="shared" si="49"/>
        <v>จากบัญชีของ สน.งปฯ ธ.ค.61</v>
      </c>
      <c r="K327" s="152"/>
      <c r="L327" s="152"/>
      <c r="M327" s="24"/>
      <c r="N327" s="126"/>
      <c r="O327" s="126"/>
      <c r="P327" s="126"/>
      <c r="Q327" s="126"/>
      <c r="R327" s="126"/>
      <c r="S327" s="126"/>
      <c r="T327" s="128"/>
      <c r="U327" s="128"/>
      <c r="V327" s="129" t="str">
        <f t="shared" si="48"/>
        <v>100</v>
      </c>
      <c r="W327" s="121">
        <f t="shared" si="47"/>
        <v>81</v>
      </c>
      <c r="X327" s="121"/>
      <c r="Y327" s="121"/>
      <c r="Z327" s="121"/>
      <c r="AA327" s="121"/>
    </row>
    <row r="328" spans="1:27" ht="37.5">
      <c r="A328" s="88"/>
      <c r="B328" s="121" t="s">
        <v>1284</v>
      </c>
      <c r="C328" s="121" t="s">
        <v>25</v>
      </c>
      <c r="D328" s="88" t="s">
        <v>26</v>
      </c>
      <c r="E328" s="24"/>
      <c r="F328" s="24" t="s">
        <v>1392</v>
      </c>
      <c r="G328" s="26" t="s">
        <v>53</v>
      </c>
      <c r="H328" s="122">
        <v>17000</v>
      </c>
      <c r="I328" s="123"/>
      <c r="J328" s="131" t="str">
        <f t="shared" si="49"/>
        <v>จากบัญชีของ สน.งปฯ ธ.ค.61</v>
      </c>
      <c r="K328" s="152"/>
      <c r="L328" s="152"/>
      <c r="M328" s="24"/>
      <c r="N328" s="126"/>
      <c r="O328" s="126"/>
      <c r="P328" s="126"/>
      <c r="Q328" s="126"/>
      <c r="R328" s="126"/>
      <c r="S328" s="126"/>
      <c r="T328" s="128"/>
      <c r="U328" s="128"/>
      <c r="V328" s="129" t="str">
        <f t="shared" si="48"/>
        <v>100</v>
      </c>
      <c r="W328" s="121">
        <f t="shared" si="47"/>
        <v>81</v>
      </c>
      <c r="X328" s="121"/>
      <c r="Y328" s="121"/>
      <c r="Z328" s="121"/>
      <c r="AA328" s="121"/>
    </row>
    <row r="329" spans="1:27" ht="37.5">
      <c r="A329" s="88"/>
      <c r="B329" s="121" t="s">
        <v>1287</v>
      </c>
      <c r="C329" s="121" t="s">
        <v>25</v>
      </c>
      <c r="D329" s="88" t="s">
        <v>26</v>
      </c>
      <c r="E329" s="24"/>
      <c r="F329" s="24" t="s">
        <v>1346</v>
      </c>
      <c r="G329" s="26" t="s">
        <v>78</v>
      </c>
      <c r="H329" s="122">
        <v>52000</v>
      </c>
      <c r="I329" s="123"/>
      <c r="J329" s="131" t="str">
        <f t="shared" si="49"/>
        <v>จากบัญชีของ สน.งปฯ ธ.ค.61</v>
      </c>
      <c r="K329" s="152"/>
      <c r="L329" s="152"/>
      <c r="M329" s="24"/>
      <c r="N329" s="126"/>
      <c r="O329" s="126"/>
      <c r="P329" s="126"/>
      <c r="Q329" s="126"/>
      <c r="R329" s="126"/>
      <c r="S329" s="126"/>
      <c r="T329" s="128"/>
      <c r="U329" s="128"/>
      <c r="V329" s="129" t="str">
        <f t="shared" si="48"/>
        <v>100</v>
      </c>
      <c r="W329" s="121">
        <f t="shared" si="47"/>
        <v>81</v>
      </c>
      <c r="X329" s="121"/>
      <c r="Y329" s="121"/>
      <c r="Z329" s="121"/>
      <c r="AA329" s="121"/>
    </row>
    <row r="330" spans="1:27" ht="37.5">
      <c r="A330" s="88"/>
      <c r="B330" s="121" t="s">
        <v>1289</v>
      </c>
      <c r="C330" s="121" t="s">
        <v>25</v>
      </c>
      <c r="D330" s="88" t="s">
        <v>26</v>
      </c>
      <c r="E330" s="24"/>
      <c r="F330" s="24" t="s">
        <v>1345</v>
      </c>
      <c r="G330" s="26" t="s">
        <v>78</v>
      </c>
      <c r="H330" s="122">
        <v>54300</v>
      </c>
      <c r="I330" s="123"/>
      <c r="J330" s="131" t="str">
        <f t="shared" si="49"/>
        <v>จากบัญชีของ สน.งปฯ ธ.ค.61</v>
      </c>
      <c r="K330" s="152"/>
      <c r="L330" s="152"/>
      <c r="M330" s="24"/>
      <c r="N330" s="126"/>
      <c r="O330" s="126"/>
      <c r="P330" s="126"/>
      <c r="Q330" s="126"/>
      <c r="R330" s="126"/>
      <c r="S330" s="126"/>
      <c r="T330" s="128"/>
      <c r="U330" s="128"/>
      <c r="V330" s="129" t="str">
        <f t="shared" si="48"/>
        <v>100</v>
      </c>
      <c r="W330" s="121">
        <f t="shared" si="47"/>
        <v>81</v>
      </c>
      <c r="X330" s="121"/>
      <c r="Y330" s="121"/>
      <c r="Z330" s="121"/>
      <c r="AA330" s="121"/>
    </row>
    <row r="331" spans="1:27" ht="37.5">
      <c r="A331" s="88"/>
      <c r="B331" s="121" t="s">
        <v>1293</v>
      </c>
      <c r="C331" s="121" t="s">
        <v>25</v>
      </c>
      <c r="D331" s="88" t="s">
        <v>26</v>
      </c>
      <c r="E331" s="24"/>
      <c r="F331" s="24" t="s">
        <v>1347</v>
      </c>
      <c r="G331" s="26" t="s">
        <v>78</v>
      </c>
      <c r="H331" s="122">
        <v>18000</v>
      </c>
      <c r="I331" s="123"/>
      <c r="J331" s="131" t="str">
        <f t="shared" si="49"/>
        <v>จากบัญชีของ สน.งปฯ ธ.ค.61</v>
      </c>
      <c r="K331" s="152"/>
      <c r="L331" s="152"/>
      <c r="M331" s="24"/>
      <c r="N331" s="126"/>
      <c r="O331" s="126"/>
      <c r="P331" s="126"/>
      <c r="Q331" s="126"/>
      <c r="R331" s="126"/>
      <c r="S331" s="126"/>
      <c r="T331" s="128"/>
      <c r="U331" s="128"/>
      <c r="V331" s="129" t="str">
        <f t="shared" si="48"/>
        <v>100</v>
      </c>
      <c r="W331" s="121">
        <f t="shared" si="47"/>
        <v>81</v>
      </c>
      <c r="X331" s="121"/>
      <c r="Y331" s="121"/>
      <c r="Z331" s="121"/>
      <c r="AA331" s="121"/>
    </row>
    <row r="332" spans="1:27" ht="37.5">
      <c r="A332" s="88"/>
      <c r="B332" s="121" t="s">
        <v>1294</v>
      </c>
      <c r="C332" s="121" t="s">
        <v>25</v>
      </c>
      <c r="D332" s="88" t="s">
        <v>26</v>
      </c>
      <c r="E332" s="24"/>
      <c r="F332" s="24" t="s">
        <v>1348</v>
      </c>
      <c r="G332" s="26" t="s">
        <v>78</v>
      </c>
      <c r="H332" s="122">
        <v>19000</v>
      </c>
      <c r="I332" s="123"/>
      <c r="J332" s="131" t="str">
        <f t="shared" si="49"/>
        <v>จากบัญชีของ สน.งปฯ ธ.ค.61</v>
      </c>
      <c r="K332" s="152"/>
      <c r="L332" s="152"/>
      <c r="M332" s="24"/>
      <c r="N332" s="126"/>
      <c r="O332" s="126"/>
      <c r="P332" s="126"/>
      <c r="Q332" s="126"/>
      <c r="R332" s="126"/>
      <c r="S332" s="126"/>
      <c r="T332" s="128"/>
      <c r="U332" s="128"/>
      <c r="V332" s="129" t="str">
        <f t="shared" si="48"/>
        <v>100</v>
      </c>
      <c r="W332" s="121">
        <f t="shared" si="47"/>
        <v>81</v>
      </c>
      <c r="X332" s="121"/>
      <c r="Y332" s="121"/>
      <c r="Z332" s="121"/>
      <c r="AA332" s="121"/>
    </row>
    <row r="333" spans="1:27" ht="37.5">
      <c r="A333" s="88"/>
      <c r="B333" s="121" t="s">
        <v>1296</v>
      </c>
      <c r="C333" s="121" t="s">
        <v>25</v>
      </c>
      <c r="D333" s="88" t="s">
        <v>26</v>
      </c>
      <c r="E333" s="24"/>
      <c r="F333" s="24" t="s">
        <v>1351</v>
      </c>
      <c r="G333" s="26" t="s">
        <v>78</v>
      </c>
      <c r="H333" s="122">
        <v>17800</v>
      </c>
      <c r="I333" s="123"/>
      <c r="J333" s="131" t="str">
        <f t="shared" si="49"/>
        <v>จากบัญชีของ สน.งปฯ ธ.ค.61</v>
      </c>
      <c r="K333" s="152"/>
      <c r="L333" s="152"/>
      <c r="M333" s="24"/>
      <c r="N333" s="126"/>
      <c r="O333" s="126"/>
      <c r="P333" s="126"/>
      <c r="Q333" s="126"/>
      <c r="R333" s="126"/>
      <c r="S333" s="126"/>
      <c r="T333" s="128"/>
      <c r="U333" s="128"/>
      <c r="V333" s="129" t="str">
        <f t="shared" si="48"/>
        <v>100</v>
      </c>
      <c r="W333" s="121">
        <f t="shared" si="47"/>
        <v>81</v>
      </c>
      <c r="X333" s="121"/>
      <c r="Y333" s="121"/>
      <c r="Z333" s="121"/>
      <c r="AA333" s="121"/>
    </row>
    <row r="334" spans="1:27" ht="37.5">
      <c r="A334" s="88"/>
      <c r="B334" s="121" t="s">
        <v>1297</v>
      </c>
      <c r="C334" s="121" t="s">
        <v>25</v>
      </c>
      <c r="D334" s="88" t="s">
        <v>26</v>
      </c>
      <c r="E334" s="24"/>
      <c r="F334" s="24" t="s">
        <v>1370</v>
      </c>
      <c r="G334" s="26" t="s">
        <v>28</v>
      </c>
      <c r="H334" s="122">
        <v>4000000</v>
      </c>
      <c r="I334" s="123"/>
      <c r="J334" s="131" t="str">
        <f t="shared" si="49"/>
        <v>จากบัญชีของ สน.งปฯ ธ.ค.61</v>
      </c>
      <c r="K334" s="152"/>
      <c r="L334" s="152"/>
      <c r="M334" s="24"/>
      <c r="N334" s="126"/>
      <c r="O334" s="126"/>
      <c r="P334" s="126"/>
      <c r="Q334" s="126"/>
      <c r="R334" s="126"/>
      <c r="S334" s="126"/>
      <c r="T334" s="128"/>
      <c r="U334" s="128"/>
      <c r="V334" s="129" t="str">
        <f t="shared" si="48"/>
        <v>100</v>
      </c>
      <c r="W334" s="121">
        <f t="shared" si="47"/>
        <v>81</v>
      </c>
      <c r="X334" s="121"/>
      <c r="Y334" s="121"/>
      <c r="Z334" s="121"/>
      <c r="AA334" s="121"/>
    </row>
    <row r="335" spans="1:27" ht="37.5">
      <c r="A335" s="88"/>
      <c r="B335" s="121" t="s">
        <v>1298</v>
      </c>
      <c r="C335" s="121" t="s">
        <v>25</v>
      </c>
      <c r="D335" s="88" t="s">
        <v>26</v>
      </c>
      <c r="E335" s="24"/>
      <c r="F335" s="24" t="s">
        <v>1373</v>
      </c>
      <c r="G335" s="26" t="s">
        <v>28</v>
      </c>
      <c r="H335" s="122">
        <v>4500000</v>
      </c>
      <c r="I335" s="123"/>
      <c r="J335" s="131" t="str">
        <f t="shared" si="49"/>
        <v>จากบัญชีของ สน.งปฯ ธ.ค.61</v>
      </c>
      <c r="K335" s="152"/>
      <c r="L335" s="152"/>
      <c r="M335" s="24"/>
      <c r="N335" s="126"/>
      <c r="O335" s="126"/>
      <c r="P335" s="126"/>
      <c r="Q335" s="126"/>
      <c r="R335" s="126"/>
      <c r="S335" s="126"/>
      <c r="T335" s="128"/>
      <c r="U335" s="128"/>
      <c r="V335" s="129" t="str">
        <f t="shared" si="48"/>
        <v>100</v>
      </c>
      <c r="W335" s="121">
        <f t="shared" si="47"/>
        <v>81</v>
      </c>
      <c r="X335" s="121"/>
      <c r="Y335" s="121"/>
      <c r="Z335" s="121"/>
      <c r="AA335" s="121"/>
    </row>
    <row r="336" spans="1:27" ht="37.5">
      <c r="A336" s="88"/>
      <c r="B336" s="121" t="s">
        <v>1300</v>
      </c>
      <c r="C336" s="121" t="s">
        <v>25</v>
      </c>
      <c r="D336" s="88" t="s">
        <v>26</v>
      </c>
      <c r="E336" s="24"/>
      <c r="F336" s="24" t="s">
        <v>1374</v>
      </c>
      <c r="G336" s="26" t="s">
        <v>28</v>
      </c>
      <c r="H336" s="122">
        <v>6800000</v>
      </c>
      <c r="I336" s="123"/>
      <c r="J336" s="131" t="str">
        <f t="shared" si="49"/>
        <v>จากบัญชีของ สน.งปฯ ธ.ค.61</v>
      </c>
      <c r="K336" s="152"/>
      <c r="L336" s="152"/>
      <c r="M336" s="24"/>
      <c r="N336" s="126"/>
      <c r="O336" s="126"/>
      <c r="P336" s="126"/>
      <c r="Q336" s="126"/>
      <c r="R336" s="126"/>
      <c r="S336" s="126"/>
      <c r="T336" s="128"/>
      <c r="U336" s="128"/>
      <c r="V336" s="129" t="str">
        <f t="shared" si="48"/>
        <v>100</v>
      </c>
      <c r="W336" s="121">
        <f t="shared" si="47"/>
        <v>81</v>
      </c>
      <c r="X336" s="121"/>
      <c r="Y336" s="121"/>
      <c r="Z336" s="121"/>
      <c r="AA336" s="121"/>
    </row>
    <row r="337" spans="1:27" ht="37.5">
      <c r="A337" s="88"/>
      <c r="B337" s="121" t="s">
        <v>1301</v>
      </c>
      <c r="C337" s="121" t="s">
        <v>25</v>
      </c>
      <c r="D337" s="88" t="s">
        <v>26</v>
      </c>
      <c r="E337" s="24"/>
      <c r="F337" s="24" t="s">
        <v>1379</v>
      </c>
      <c r="G337" s="26" t="s">
        <v>28</v>
      </c>
      <c r="H337" s="122">
        <v>2800000</v>
      </c>
      <c r="I337" s="123"/>
      <c r="J337" s="131" t="str">
        <f t="shared" si="49"/>
        <v>จากบัญชีของ สน.งปฯ ธ.ค.61</v>
      </c>
      <c r="K337" s="152"/>
      <c r="L337" s="152"/>
      <c r="M337" s="24"/>
      <c r="N337" s="126"/>
      <c r="O337" s="126"/>
      <c r="P337" s="126"/>
      <c r="Q337" s="126"/>
      <c r="R337" s="126"/>
      <c r="S337" s="126"/>
      <c r="T337" s="128"/>
      <c r="U337" s="128"/>
      <c r="V337" s="129" t="str">
        <f t="shared" si="48"/>
        <v>100</v>
      </c>
      <c r="W337" s="121">
        <f t="shared" si="47"/>
        <v>81</v>
      </c>
      <c r="X337" s="121"/>
      <c r="Y337" s="121"/>
      <c r="Z337" s="121"/>
      <c r="AA337" s="121"/>
    </row>
    <row r="338" spans="1:27" ht="37.5">
      <c r="A338" s="88"/>
      <c r="B338" s="121" t="s">
        <v>1303</v>
      </c>
      <c r="C338" s="121" t="s">
        <v>25</v>
      </c>
      <c r="D338" s="88" t="s">
        <v>26</v>
      </c>
      <c r="E338" s="24"/>
      <c r="F338" s="24" t="s">
        <v>1382</v>
      </c>
      <c r="G338" s="26" t="s">
        <v>28</v>
      </c>
      <c r="H338" s="122">
        <v>3300000</v>
      </c>
      <c r="I338" s="123"/>
      <c r="J338" s="131" t="str">
        <f t="shared" si="49"/>
        <v>จากบัญชีของ สน.งปฯ ธ.ค.61</v>
      </c>
      <c r="K338" s="152"/>
      <c r="L338" s="152"/>
      <c r="M338" s="24"/>
      <c r="N338" s="126"/>
      <c r="O338" s="126"/>
      <c r="P338" s="126"/>
      <c r="Q338" s="126"/>
      <c r="R338" s="126"/>
      <c r="S338" s="126"/>
      <c r="T338" s="128"/>
      <c r="U338" s="128"/>
      <c r="V338" s="129" t="str">
        <f t="shared" si="48"/>
        <v>100</v>
      </c>
      <c r="W338" s="121">
        <f t="shared" si="47"/>
        <v>81</v>
      </c>
      <c r="X338" s="121"/>
      <c r="Y338" s="121"/>
      <c r="Z338" s="121"/>
      <c r="AA338" s="121"/>
    </row>
    <row r="339" spans="1:27" ht="37.5">
      <c r="A339" s="88"/>
      <c r="B339" s="121" t="s">
        <v>1305</v>
      </c>
      <c r="C339" s="121" t="s">
        <v>25</v>
      </c>
      <c r="D339" s="88" t="s">
        <v>26</v>
      </c>
      <c r="E339" s="24"/>
      <c r="F339" s="24" t="s">
        <v>1375</v>
      </c>
      <c r="G339" s="26" t="s">
        <v>28</v>
      </c>
      <c r="H339" s="122">
        <v>4000000</v>
      </c>
      <c r="I339" s="123"/>
      <c r="J339" s="131" t="str">
        <f t="shared" si="49"/>
        <v>จากบัญชีของ สน.งปฯ ธ.ค.61</v>
      </c>
      <c r="K339" s="152"/>
      <c r="L339" s="152"/>
      <c r="M339" s="24"/>
      <c r="N339" s="126"/>
      <c r="O339" s="126"/>
      <c r="P339" s="126"/>
      <c r="Q339" s="126"/>
      <c r="R339" s="126"/>
      <c r="S339" s="126"/>
      <c r="T339" s="128"/>
      <c r="U339" s="128"/>
      <c r="V339" s="129" t="str">
        <f t="shared" si="48"/>
        <v>100</v>
      </c>
      <c r="W339" s="121">
        <f t="shared" si="47"/>
        <v>81</v>
      </c>
      <c r="X339" s="121"/>
      <c r="Y339" s="121"/>
      <c r="Z339" s="121"/>
      <c r="AA339" s="121"/>
    </row>
    <row r="340" spans="1:27" ht="37.5">
      <c r="A340" s="88"/>
      <c r="B340" s="121" t="s">
        <v>1307</v>
      </c>
      <c r="C340" s="121" t="s">
        <v>25</v>
      </c>
      <c r="D340" s="88" t="s">
        <v>26</v>
      </c>
      <c r="E340" s="24"/>
      <c r="F340" s="24" t="s">
        <v>1378</v>
      </c>
      <c r="G340" s="26" t="s">
        <v>28</v>
      </c>
      <c r="H340" s="122">
        <v>4500000</v>
      </c>
      <c r="I340" s="123"/>
      <c r="J340" s="131" t="str">
        <f t="shared" si="49"/>
        <v>จากบัญชีของ สน.งปฯ ธ.ค.61</v>
      </c>
      <c r="K340" s="152"/>
      <c r="L340" s="152"/>
      <c r="M340" s="24"/>
      <c r="N340" s="126"/>
      <c r="O340" s="126"/>
      <c r="P340" s="126"/>
      <c r="Q340" s="126"/>
      <c r="R340" s="126"/>
      <c r="S340" s="126"/>
      <c r="T340" s="128"/>
      <c r="U340" s="128"/>
      <c r="V340" s="129" t="str">
        <f t="shared" si="48"/>
        <v>100</v>
      </c>
      <c r="W340" s="121">
        <f t="shared" si="47"/>
        <v>81</v>
      </c>
      <c r="X340" s="121"/>
      <c r="Y340" s="121"/>
      <c r="Z340" s="121"/>
      <c r="AA340" s="121"/>
    </row>
    <row r="341" spans="1:27" ht="37.5">
      <c r="A341" s="88"/>
      <c r="B341" s="121" t="s">
        <v>1309</v>
      </c>
      <c r="C341" s="121" t="s">
        <v>25</v>
      </c>
      <c r="D341" s="88" t="s">
        <v>26</v>
      </c>
      <c r="E341" s="24"/>
      <c r="F341" s="24" t="s">
        <v>1369</v>
      </c>
      <c r="G341" s="26" t="s">
        <v>28</v>
      </c>
      <c r="H341" s="122">
        <v>7500000</v>
      </c>
      <c r="I341" s="123"/>
      <c r="J341" s="131" t="str">
        <f t="shared" si="49"/>
        <v>จากบัญชีของ สน.งปฯ ธ.ค.61</v>
      </c>
      <c r="K341" s="152"/>
      <c r="L341" s="152"/>
      <c r="M341" s="24"/>
      <c r="N341" s="126"/>
      <c r="O341" s="126"/>
      <c r="P341" s="126"/>
      <c r="Q341" s="126"/>
      <c r="R341" s="126"/>
      <c r="S341" s="126"/>
      <c r="T341" s="128"/>
      <c r="U341" s="128"/>
      <c r="V341" s="129" t="str">
        <f t="shared" si="48"/>
        <v>100</v>
      </c>
      <c r="W341" s="121">
        <f t="shared" si="47"/>
        <v>81</v>
      </c>
      <c r="X341" s="121"/>
      <c r="Y341" s="121"/>
      <c r="Z341" s="121"/>
      <c r="AA341" s="121"/>
    </row>
    <row r="342" spans="1:27" ht="37.5">
      <c r="A342" s="88"/>
      <c r="B342" s="121" t="s">
        <v>1311</v>
      </c>
      <c r="C342" s="121" t="s">
        <v>25</v>
      </c>
      <c r="D342" s="88" t="s">
        <v>26</v>
      </c>
      <c r="E342" s="24"/>
      <c r="F342" s="24" t="s">
        <v>1383</v>
      </c>
      <c r="G342" s="26" t="s">
        <v>28</v>
      </c>
      <c r="H342" s="122">
        <v>2900000</v>
      </c>
      <c r="I342" s="123"/>
      <c r="J342" s="131" t="str">
        <f t="shared" si="49"/>
        <v>จากบัญชีของ สน.งปฯ ธ.ค.61</v>
      </c>
      <c r="K342" s="152"/>
      <c r="L342" s="152"/>
      <c r="M342" s="24"/>
      <c r="N342" s="126"/>
      <c r="O342" s="126"/>
      <c r="P342" s="126"/>
      <c r="Q342" s="126"/>
      <c r="R342" s="126"/>
      <c r="S342" s="126"/>
      <c r="T342" s="128"/>
      <c r="U342" s="128"/>
      <c r="V342" s="129" t="str">
        <f t="shared" si="48"/>
        <v>100</v>
      </c>
      <c r="W342" s="121">
        <f t="shared" si="47"/>
        <v>81</v>
      </c>
      <c r="X342" s="121"/>
      <c r="Y342" s="121"/>
      <c r="Z342" s="121"/>
      <c r="AA342" s="121"/>
    </row>
    <row r="343" spans="1:27" ht="37.5">
      <c r="A343" s="88"/>
      <c r="B343" s="121" t="s">
        <v>1314</v>
      </c>
      <c r="C343" s="121" t="s">
        <v>25</v>
      </c>
      <c r="D343" s="88" t="s">
        <v>26</v>
      </c>
      <c r="E343" s="24"/>
      <c r="F343" s="24" t="s">
        <v>1387</v>
      </c>
      <c r="G343" s="26" t="s">
        <v>28</v>
      </c>
      <c r="H343" s="122">
        <v>398000</v>
      </c>
      <c r="I343" s="123"/>
      <c r="J343" s="131" t="str">
        <f t="shared" si="49"/>
        <v>จากบัญชีของ สน.งปฯ ธ.ค.61</v>
      </c>
      <c r="K343" s="152"/>
      <c r="L343" s="152"/>
      <c r="M343" s="24"/>
      <c r="N343" s="126"/>
      <c r="O343" s="126"/>
      <c r="P343" s="126"/>
      <c r="Q343" s="126"/>
      <c r="R343" s="126"/>
      <c r="S343" s="126"/>
      <c r="T343" s="128"/>
      <c r="U343" s="128"/>
      <c r="V343" s="129" t="str">
        <f t="shared" si="48"/>
        <v>100</v>
      </c>
      <c r="W343" s="121">
        <f t="shared" si="47"/>
        <v>81</v>
      </c>
      <c r="X343" s="121"/>
      <c r="Y343" s="121"/>
      <c r="Z343" s="121"/>
      <c r="AA343" s="121"/>
    </row>
    <row r="344" spans="1:27" ht="37.5">
      <c r="A344" s="88"/>
      <c r="B344" s="121" t="s">
        <v>1316</v>
      </c>
      <c r="C344" s="121" t="s">
        <v>25</v>
      </c>
      <c r="D344" s="88" t="s">
        <v>26</v>
      </c>
      <c r="E344" s="24"/>
      <c r="F344" s="24" t="s">
        <v>1388</v>
      </c>
      <c r="G344" s="26" t="s">
        <v>28</v>
      </c>
      <c r="H344" s="122">
        <v>590000</v>
      </c>
      <c r="I344" s="123"/>
      <c r="J344" s="131" t="str">
        <f t="shared" si="49"/>
        <v>จากบัญชีของ สน.งปฯ ธ.ค.61</v>
      </c>
      <c r="K344" s="152"/>
      <c r="L344" s="152"/>
      <c r="M344" s="46"/>
      <c r="N344" s="126"/>
      <c r="O344" s="126"/>
      <c r="P344" s="126"/>
      <c r="Q344" s="126"/>
      <c r="R344" s="126"/>
      <c r="S344" s="126"/>
      <c r="T344" s="128"/>
      <c r="U344" s="128"/>
      <c r="V344" s="129" t="str">
        <f t="shared" si="48"/>
        <v>100</v>
      </c>
      <c r="W344" s="121">
        <f t="shared" si="47"/>
        <v>81</v>
      </c>
      <c r="X344" s="121"/>
      <c r="Y344" s="121"/>
      <c r="Z344" s="121"/>
      <c r="AA344" s="121"/>
    </row>
    <row r="345" spans="1:27" ht="37.5">
      <c r="A345" s="88"/>
      <c r="B345" s="121" t="s">
        <v>1317</v>
      </c>
      <c r="C345" s="121" t="s">
        <v>25</v>
      </c>
      <c r="D345" s="88" t="s">
        <v>26</v>
      </c>
      <c r="E345" s="24"/>
      <c r="F345" s="24" t="s">
        <v>1389</v>
      </c>
      <c r="G345" s="26" t="s">
        <v>28</v>
      </c>
      <c r="H345" s="122">
        <v>1100000</v>
      </c>
      <c r="I345" s="123"/>
      <c r="J345" s="131" t="str">
        <f t="shared" si="49"/>
        <v>จากบัญชีของ สน.งปฯ ธ.ค.61</v>
      </c>
      <c r="K345" s="152"/>
      <c r="L345" s="152"/>
      <c r="M345" s="46"/>
      <c r="N345" s="126"/>
      <c r="O345" s="126"/>
      <c r="P345" s="126"/>
      <c r="Q345" s="126"/>
      <c r="R345" s="126"/>
      <c r="S345" s="126"/>
      <c r="T345" s="128"/>
      <c r="U345" s="128"/>
      <c r="V345" s="129" t="str">
        <f t="shared" si="48"/>
        <v>100</v>
      </c>
      <c r="W345" s="121">
        <f t="shared" si="47"/>
        <v>81</v>
      </c>
      <c r="X345" s="121"/>
      <c r="Y345" s="121"/>
      <c r="Z345" s="121"/>
      <c r="AA345" s="121"/>
    </row>
    <row r="346" spans="1:27" ht="37.5">
      <c r="A346" s="88"/>
      <c r="B346" s="121" t="s">
        <v>1323</v>
      </c>
      <c r="C346" s="121" t="s">
        <v>25</v>
      </c>
      <c r="D346" s="88" t="s">
        <v>26</v>
      </c>
      <c r="E346" s="24"/>
      <c r="F346" s="24" t="s">
        <v>1358</v>
      </c>
      <c r="G346" s="26" t="s">
        <v>78</v>
      </c>
      <c r="H346" s="122">
        <v>9500</v>
      </c>
      <c r="I346" s="123"/>
      <c r="J346" s="131" t="str">
        <f t="shared" si="49"/>
        <v>จากบัญชีของ สน.งปฯ ธ.ค.61</v>
      </c>
      <c r="K346" s="152"/>
      <c r="L346" s="152"/>
      <c r="M346" s="24"/>
      <c r="N346" s="126"/>
      <c r="O346" s="126"/>
      <c r="P346" s="126"/>
      <c r="Q346" s="126"/>
      <c r="R346" s="126"/>
      <c r="S346" s="126"/>
      <c r="T346" s="128"/>
      <c r="U346" s="128"/>
      <c r="V346" s="129" t="str">
        <f t="shared" si="48"/>
        <v>100</v>
      </c>
      <c r="W346" s="121">
        <f t="shared" si="47"/>
        <v>81</v>
      </c>
      <c r="X346" s="121"/>
      <c r="Y346" s="121"/>
      <c r="Z346" s="121"/>
      <c r="AA346" s="121"/>
    </row>
    <row r="347" spans="1:27" ht="37.5">
      <c r="A347" s="88"/>
      <c r="B347" s="121" t="s">
        <v>1325</v>
      </c>
      <c r="C347" s="121" t="s">
        <v>25</v>
      </c>
      <c r="D347" s="88" t="s">
        <v>26</v>
      </c>
      <c r="E347" s="24"/>
      <c r="F347" s="24" t="s">
        <v>1355</v>
      </c>
      <c r="G347" s="26" t="s">
        <v>78</v>
      </c>
      <c r="H347" s="122">
        <v>13400</v>
      </c>
      <c r="I347" s="123"/>
      <c r="J347" s="131" t="str">
        <f t="shared" si="49"/>
        <v>จากบัญชีของ สน.งปฯ ธ.ค.61</v>
      </c>
      <c r="K347" s="152"/>
      <c r="L347" s="152"/>
      <c r="M347" s="24"/>
      <c r="N347" s="126"/>
      <c r="O347" s="126"/>
      <c r="P347" s="126"/>
      <c r="Q347" s="126"/>
      <c r="R347" s="126"/>
      <c r="S347" s="126"/>
      <c r="T347" s="128"/>
      <c r="U347" s="128"/>
      <c r="V347" s="129" t="str">
        <f t="shared" si="48"/>
        <v>100</v>
      </c>
      <c r="W347" s="121">
        <f t="shared" si="47"/>
        <v>81</v>
      </c>
      <c r="X347" s="121"/>
      <c r="Y347" s="121"/>
      <c r="Z347" s="121"/>
      <c r="AA347" s="121"/>
    </row>
    <row r="348" spans="1:27" ht="37.5">
      <c r="A348" s="88"/>
      <c r="B348" s="121" t="s">
        <v>1327</v>
      </c>
      <c r="C348" s="121" t="s">
        <v>25</v>
      </c>
      <c r="D348" s="88" t="s">
        <v>26</v>
      </c>
      <c r="E348" s="24"/>
      <c r="F348" s="24" t="s">
        <v>1356</v>
      </c>
      <c r="G348" s="26" t="s">
        <v>78</v>
      </c>
      <c r="H348" s="122">
        <v>22500</v>
      </c>
      <c r="I348" s="123"/>
      <c r="J348" s="131" t="str">
        <f t="shared" si="49"/>
        <v>จากบัญชีของ สน.งปฯ ธ.ค.61</v>
      </c>
      <c r="K348" s="152"/>
      <c r="L348" s="152"/>
      <c r="M348" s="24"/>
      <c r="N348" s="126"/>
      <c r="O348" s="126"/>
      <c r="P348" s="126"/>
      <c r="Q348" s="126"/>
      <c r="R348" s="126"/>
      <c r="S348" s="126"/>
      <c r="T348" s="128"/>
      <c r="U348" s="128"/>
      <c r="V348" s="129" t="str">
        <f t="shared" si="48"/>
        <v>100</v>
      </c>
      <c r="W348" s="121">
        <f t="shared" si="47"/>
        <v>81</v>
      </c>
      <c r="X348" s="121"/>
      <c r="Y348" s="121"/>
      <c r="Z348" s="121"/>
      <c r="AA348" s="121"/>
    </row>
    <row r="349" spans="1:27" ht="37.5">
      <c r="A349" s="88"/>
      <c r="B349" s="121" t="s">
        <v>1329</v>
      </c>
      <c r="C349" s="121" t="s">
        <v>25</v>
      </c>
      <c r="D349" s="88" t="s">
        <v>26</v>
      </c>
      <c r="E349" s="24"/>
      <c r="F349" s="24" t="s">
        <v>1353</v>
      </c>
      <c r="G349" s="26" t="s">
        <v>78</v>
      </c>
      <c r="H349" s="122">
        <v>45000</v>
      </c>
      <c r="I349" s="123"/>
      <c r="J349" s="131" t="str">
        <f t="shared" si="49"/>
        <v>จากบัญชีของ สน.งปฯ ธ.ค.61</v>
      </c>
      <c r="K349" s="152"/>
      <c r="L349" s="152"/>
      <c r="M349" s="24"/>
      <c r="N349" s="126"/>
      <c r="O349" s="126"/>
      <c r="P349" s="126"/>
      <c r="Q349" s="126"/>
      <c r="R349" s="126"/>
      <c r="S349" s="126"/>
      <c r="T349" s="128"/>
      <c r="U349" s="128"/>
      <c r="V349" s="129" t="str">
        <f t="shared" si="48"/>
        <v>100</v>
      </c>
      <c r="W349" s="121">
        <f t="shared" si="47"/>
        <v>81</v>
      </c>
      <c r="X349" s="121"/>
      <c r="Y349" s="121"/>
      <c r="Z349" s="121"/>
      <c r="AA349" s="121"/>
    </row>
    <row r="350" spans="1:27" ht="37.5">
      <c r="A350" s="88"/>
      <c r="B350" s="121" t="s">
        <v>1331</v>
      </c>
      <c r="C350" s="121" t="s">
        <v>25</v>
      </c>
      <c r="D350" s="88" t="s">
        <v>26</v>
      </c>
      <c r="E350" s="24"/>
      <c r="F350" s="24" t="s">
        <v>1354</v>
      </c>
      <c r="G350" s="26" t="s">
        <v>78</v>
      </c>
      <c r="H350" s="122">
        <v>95000</v>
      </c>
      <c r="I350" s="123"/>
      <c r="J350" s="131" t="str">
        <f t="shared" si="49"/>
        <v>จากบัญชีของ สน.งปฯ ธ.ค.61</v>
      </c>
      <c r="K350" s="152"/>
      <c r="L350" s="152"/>
      <c r="M350" s="24"/>
      <c r="N350" s="126"/>
      <c r="O350" s="126"/>
      <c r="P350" s="126"/>
      <c r="Q350" s="126"/>
      <c r="R350" s="126"/>
      <c r="S350" s="126"/>
      <c r="T350" s="128"/>
      <c r="U350" s="128"/>
      <c r="V350" s="129" t="str">
        <f t="shared" si="48"/>
        <v>100</v>
      </c>
      <c r="W350" s="121">
        <f t="shared" si="47"/>
        <v>81</v>
      </c>
      <c r="X350" s="121"/>
      <c r="Y350" s="121"/>
      <c r="Z350" s="121"/>
      <c r="AA350" s="121"/>
    </row>
    <row r="351" spans="1:27" ht="37.5">
      <c r="A351" s="88"/>
      <c r="B351" s="121" t="s">
        <v>1333</v>
      </c>
      <c r="C351" s="121" t="s">
        <v>25</v>
      </c>
      <c r="D351" s="88" t="s">
        <v>26</v>
      </c>
      <c r="E351" s="24"/>
      <c r="F351" s="24" t="s">
        <v>1361</v>
      </c>
      <c r="G351" s="26" t="s">
        <v>78</v>
      </c>
      <c r="H351" s="122">
        <v>11000</v>
      </c>
      <c r="I351" s="123"/>
      <c r="J351" s="131" t="str">
        <f t="shared" si="49"/>
        <v>จากบัญชีของ สน.งปฯ ธ.ค.61</v>
      </c>
      <c r="K351" s="152"/>
      <c r="L351" s="152"/>
      <c r="M351" s="24"/>
      <c r="N351" s="126"/>
      <c r="O351" s="126"/>
      <c r="P351" s="126"/>
      <c r="Q351" s="126"/>
      <c r="R351" s="126"/>
      <c r="S351" s="126"/>
      <c r="T351" s="128"/>
      <c r="U351" s="128"/>
      <c r="V351" s="129" t="str">
        <f t="shared" si="48"/>
        <v>100</v>
      </c>
      <c r="W351" s="121">
        <f t="shared" si="47"/>
        <v>81</v>
      </c>
      <c r="X351" s="121"/>
      <c r="Y351" s="121"/>
      <c r="Z351" s="121"/>
      <c r="AA351" s="121"/>
    </row>
    <row r="352" spans="1:27" ht="37.5">
      <c r="A352" s="88"/>
      <c r="B352" s="121" t="s">
        <v>1335</v>
      </c>
      <c r="C352" s="121" t="s">
        <v>25</v>
      </c>
      <c r="D352" s="88" t="s">
        <v>26</v>
      </c>
      <c r="E352" s="24"/>
      <c r="F352" s="24" t="s">
        <v>1359</v>
      </c>
      <c r="G352" s="26" t="s">
        <v>78</v>
      </c>
      <c r="H352" s="122">
        <v>16000</v>
      </c>
      <c r="I352" s="123"/>
      <c r="J352" s="131" t="str">
        <f t="shared" si="49"/>
        <v>จากบัญชีของ สน.งปฯ ธ.ค.61</v>
      </c>
      <c r="K352" s="152"/>
      <c r="L352" s="152"/>
      <c r="M352" s="24"/>
      <c r="N352" s="126"/>
      <c r="O352" s="126"/>
      <c r="P352" s="126"/>
      <c r="Q352" s="126"/>
      <c r="R352" s="126"/>
      <c r="S352" s="126"/>
      <c r="T352" s="128"/>
      <c r="U352" s="128"/>
      <c r="V352" s="129" t="str">
        <f t="shared" si="48"/>
        <v>100</v>
      </c>
      <c r="W352" s="121">
        <f t="shared" si="47"/>
        <v>81</v>
      </c>
      <c r="X352" s="121"/>
      <c r="Y352" s="121"/>
      <c r="Z352" s="121"/>
      <c r="AA352" s="121"/>
    </row>
    <row r="353" spans="1:27" ht="37.5">
      <c r="A353" s="88"/>
      <c r="B353" s="121" t="s">
        <v>1336</v>
      </c>
      <c r="C353" s="121" t="s">
        <v>25</v>
      </c>
      <c r="D353" s="88" t="s">
        <v>26</v>
      </c>
      <c r="E353" s="24"/>
      <c r="F353" s="24" t="s">
        <v>1360</v>
      </c>
      <c r="G353" s="26" t="s">
        <v>78</v>
      </c>
      <c r="H353" s="122">
        <v>20000</v>
      </c>
      <c r="I353" s="123"/>
      <c r="J353" s="131" t="str">
        <f t="shared" si="49"/>
        <v>จากบัญชีของ สน.งปฯ ธ.ค.61</v>
      </c>
      <c r="K353" s="152"/>
      <c r="L353" s="152"/>
      <c r="M353" s="24"/>
      <c r="N353" s="126"/>
      <c r="O353" s="126"/>
      <c r="P353" s="126"/>
      <c r="Q353" s="126"/>
      <c r="R353" s="126"/>
      <c r="S353" s="126"/>
      <c r="T353" s="128"/>
      <c r="U353" s="128"/>
      <c r="V353" s="129" t="str">
        <f t="shared" si="48"/>
        <v>100</v>
      </c>
      <c r="W353" s="121">
        <f t="shared" si="47"/>
        <v>81</v>
      </c>
      <c r="X353" s="121"/>
      <c r="Y353" s="121"/>
      <c r="Z353" s="121"/>
      <c r="AA353" s="121"/>
    </row>
    <row r="354" spans="1:27" ht="37.5">
      <c r="A354" s="88"/>
      <c r="B354" s="121" t="s">
        <v>1337</v>
      </c>
      <c r="C354" s="121" t="s">
        <v>25</v>
      </c>
      <c r="D354" s="88" t="s">
        <v>26</v>
      </c>
      <c r="E354" s="24"/>
      <c r="F354" s="24" t="s">
        <v>1352</v>
      </c>
      <c r="G354" s="26" t="s">
        <v>78</v>
      </c>
      <c r="H354" s="122">
        <v>85000</v>
      </c>
      <c r="I354" s="123"/>
      <c r="J354" s="131" t="str">
        <f t="shared" si="49"/>
        <v>จากบัญชีของ สน.งปฯ ธ.ค.61</v>
      </c>
      <c r="K354" s="152"/>
      <c r="L354" s="152"/>
      <c r="M354" s="24"/>
      <c r="N354" s="126"/>
      <c r="O354" s="126"/>
      <c r="P354" s="126"/>
      <c r="Q354" s="126"/>
      <c r="R354" s="126"/>
      <c r="S354" s="126"/>
      <c r="T354" s="128"/>
      <c r="U354" s="128"/>
      <c r="V354" s="129" t="str">
        <f t="shared" si="48"/>
        <v>100</v>
      </c>
      <c r="W354" s="121">
        <f t="shared" si="47"/>
        <v>81</v>
      </c>
      <c r="X354" s="121"/>
      <c r="Y354" s="121"/>
      <c r="Z354" s="121"/>
      <c r="AA354" s="121"/>
    </row>
    <row r="355" spans="1:27" ht="37.5">
      <c r="A355" s="88"/>
      <c r="B355" s="121" t="s">
        <v>1357</v>
      </c>
      <c r="C355" s="121" t="s">
        <v>25</v>
      </c>
      <c r="D355" s="88" t="s">
        <v>26</v>
      </c>
      <c r="E355" s="24"/>
      <c r="F355" s="24" t="s">
        <v>1344</v>
      </c>
      <c r="G355" s="26" t="s">
        <v>78</v>
      </c>
      <c r="H355" s="122">
        <v>12000</v>
      </c>
      <c r="I355" s="123"/>
      <c r="J355" s="131" t="str">
        <f t="shared" si="49"/>
        <v>จากบัญชีของ สน.งปฯ ธ.ค.61</v>
      </c>
      <c r="K355" s="152"/>
      <c r="L355" s="152"/>
      <c r="M355" s="24"/>
      <c r="N355" s="126"/>
      <c r="O355" s="126"/>
      <c r="P355" s="126"/>
      <c r="Q355" s="126"/>
      <c r="R355" s="126"/>
      <c r="S355" s="126"/>
      <c r="T355" s="128"/>
      <c r="U355" s="128"/>
      <c r="V355" s="129" t="str">
        <f t="shared" si="48"/>
        <v>100</v>
      </c>
      <c r="W355" s="121">
        <f t="shared" si="47"/>
        <v>81</v>
      </c>
      <c r="X355" s="121"/>
      <c r="Y355" s="121"/>
      <c r="Z355" s="121"/>
      <c r="AA355" s="121"/>
    </row>
    <row r="356" spans="1:27" ht="37.5">
      <c r="A356" s="88"/>
      <c r="B356" s="121" t="s">
        <v>1413</v>
      </c>
      <c r="C356" s="121" t="s">
        <v>25</v>
      </c>
      <c r="D356" s="88" t="s">
        <v>26</v>
      </c>
      <c r="E356" s="24"/>
      <c r="F356" s="24" t="s">
        <v>1100</v>
      </c>
      <c r="G356" s="26" t="s">
        <v>78</v>
      </c>
      <c r="H356" s="122">
        <v>23300</v>
      </c>
      <c r="I356" s="123"/>
      <c r="J356" s="131" t="str">
        <f t="shared" si="49"/>
        <v>จากบัญชีของ สน.งปฯ ธ.ค.61</v>
      </c>
      <c r="K356" s="152"/>
      <c r="L356" s="152"/>
      <c r="M356" s="24"/>
      <c r="N356" s="126"/>
      <c r="O356" s="126"/>
      <c r="P356" s="126"/>
      <c r="Q356" s="126"/>
      <c r="R356" s="126"/>
      <c r="S356" s="126"/>
      <c r="T356" s="128"/>
      <c r="U356" s="128"/>
      <c r="V356" s="129" t="str">
        <f t="shared" si="48"/>
        <v>100</v>
      </c>
      <c r="W356" s="121">
        <f t="shared" si="47"/>
        <v>81</v>
      </c>
      <c r="X356" s="121"/>
      <c r="Y356" s="121"/>
      <c r="Z356" s="121"/>
      <c r="AA356" s="121"/>
    </row>
    <row r="357" spans="1:27" ht="37.5">
      <c r="A357" s="88"/>
      <c r="B357" s="121" t="s">
        <v>1414</v>
      </c>
      <c r="C357" s="121" t="s">
        <v>25</v>
      </c>
      <c r="D357" s="88" t="s">
        <v>26</v>
      </c>
      <c r="E357" s="24"/>
      <c r="F357" s="24" t="s">
        <v>787</v>
      </c>
      <c r="G357" s="26" t="s">
        <v>78</v>
      </c>
      <c r="H357" s="122">
        <v>52000</v>
      </c>
      <c r="I357" s="123"/>
      <c r="J357" s="131" t="str">
        <f t="shared" si="49"/>
        <v>จากบัญชีของ สน.งปฯ ธ.ค.61</v>
      </c>
      <c r="K357" s="152"/>
      <c r="L357" s="152"/>
      <c r="M357" s="24"/>
      <c r="N357" s="126"/>
      <c r="O357" s="126"/>
      <c r="P357" s="126"/>
      <c r="Q357" s="126"/>
      <c r="R357" s="126"/>
      <c r="S357" s="126"/>
      <c r="T357" s="128"/>
      <c r="U357" s="128"/>
      <c r="V357" s="129" t="str">
        <f t="shared" si="48"/>
        <v>100</v>
      </c>
      <c r="W357" s="121">
        <f t="shared" si="47"/>
        <v>81</v>
      </c>
      <c r="X357" s="121"/>
      <c r="Y357" s="121"/>
      <c r="Z357" s="121"/>
      <c r="AA357" s="121"/>
    </row>
    <row r="358" spans="1:27" ht="37.5">
      <c r="A358" s="88"/>
      <c r="B358" s="121" t="s">
        <v>1415</v>
      </c>
      <c r="C358" s="121" t="s">
        <v>25</v>
      </c>
      <c r="D358" s="88" t="s">
        <v>26</v>
      </c>
      <c r="E358" s="24"/>
      <c r="F358" s="24" t="s">
        <v>1086</v>
      </c>
      <c r="G358" s="26" t="s">
        <v>78</v>
      </c>
      <c r="H358" s="122">
        <v>150000</v>
      </c>
      <c r="I358" s="123"/>
      <c r="J358" s="131" t="str">
        <f t="shared" si="49"/>
        <v>จากบัญชีของ สน.งปฯ ธ.ค.61</v>
      </c>
      <c r="K358" s="152"/>
      <c r="L358" s="152"/>
      <c r="M358" s="24"/>
      <c r="N358" s="126"/>
      <c r="O358" s="126"/>
      <c r="P358" s="126"/>
      <c r="Q358" s="126"/>
      <c r="R358" s="126"/>
      <c r="S358" s="126"/>
      <c r="T358" s="128"/>
      <c r="U358" s="128"/>
      <c r="V358" s="129" t="str">
        <f t="shared" si="48"/>
        <v>100</v>
      </c>
      <c r="W358" s="121">
        <f t="shared" si="47"/>
        <v>81</v>
      </c>
      <c r="X358" s="121"/>
      <c r="Y358" s="121"/>
      <c r="Z358" s="121"/>
      <c r="AA358" s="121"/>
    </row>
    <row r="359" spans="1:27" ht="37.5">
      <c r="A359" s="88"/>
      <c r="B359" s="121" t="s">
        <v>1416</v>
      </c>
      <c r="C359" s="121" t="s">
        <v>25</v>
      </c>
      <c r="D359" s="88" t="s">
        <v>26</v>
      </c>
      <c r="E359" s="24"/>
      <c r="F359" s="24" t="s">
        <v>1288</v>
      </c>
      <c r="G359" s="26" t="s">
        <v>78</v>
      </c>
      <c r="H359" s="122">
        <v>246000</v>
      </c>
      <c r="I359" s="123"/>
      <c r="J359" s="131" t="str">
        <f t="shared" si="49"/>
        <v>จากบัญชีของ สน.งปฯ ธ.ค.61</v>
      </c>
      <c r="K359" s="152"/>
      <c r="L359" s="152"/>
      <c r="M359" s="24"/>
      <c r="N359" s="126"/>
      <c r="O359" s="126"/>
      <c r="P359" s="126"/>
      <c r="Q359" s="126"/>
      <c r="R359" s="126"/>
      <c r="S359" s="126"/>
      <c r="T359" s="128"/>
      <c r="U359" s="128"/>
      <c r="V359" s="129" t="str">
        <f t="shared" si="48"/>
        <v>100</v>
      </c>
      <c r="W359" s="121">
        <f t="shared" si="47"/>
        <v>81</v>
      </c>
      <c r="X359" s="121"/>
      <c r="Y359" s="121"/>
      <c r="Z359" s="121"/>
      <c r="AA359" s="121"/>
    </row>
    <row r="360" spans="1:27" ht="37.5">
      <c r="A360" s="88"/>
      <c r="B360" s="121" t="s">
        <v>1417</v>
      </c>
      <c r="C360" s="121" t="s">
        <v>25</v>
      </c>
      <c r="D360" s="88" t="s">
        <v>26</v>
      </c>
      <c r="E360" s="24"/>
      <c r="F360" s="24" t="s">
        <v>1098</v>
      </c>
      <c r="G360" s="26" t="s">
        <v>78</v>
      </c>
      <c r="H360" s="122">
        <v>408000</v>
      </c>
      <c r="I360" s="123"/>
      <c r="J360" s="131" t="str">
        <f t="shared" si="49"/>
        <v>จากบัญชีของ สน.งปฯ ธ.ค.61</v>
      </c>
      <c r="K360" s="152"/>
      <c r="L360" s="152"/>
      <c r="M360" s="24"/>
      <c r="N360" s="126"/>
      <c r="O360" s="126"/>
      <c r="P360" s="126"/>
      <c r="Q360" s="126"/>
      <c r="R360" s="126"/>
      <c r="S360" s="126"/>
      <c r="T360" s="128"/>
      <c r="U360" s="128"/>
      <c r="V360" s="129" t="str">
        <f t="shared" si="48"/>
        <v>100</v>
      </c>
      <c r="W360" s="121">
        <f t="shared" si="47"/>
        <v>81</v>
      </c>
      <c r="X360" s="121"/>
      <c r="Y360" s="121"/>
      <c r="Z360" s="121"/>
      <c r="AA360" s="121"/>
    </row>
    <row r="361" spans="1:27" ht="37.5">
      <c r="A361" s="88"/>
      <c r="B361" s="121" t="s">
        <v>1418</v>
      </c>
      <c r="C361" s="121" t="s">
        <v>25</v>
      </c>
      <c r="D361" s="88" t="s">
        <v>26</v>
      </c>
      <c r="E361" s="24"/>
      <c r="F361" s="24" t="s">
        <v>1299</v>
      </c>
      <c r="G361" s="26" t="s">
        <v>78</v>
      </c>
      <c r="H361" s="122">
        <v>500000</v>
      </c>
      <c r="I361" s="123"/>
      <c r="J361" s="131" t="str">
        <f t="shared" si="49"/>
        <v>จากบัญชีของ สน.งปฯ ธ.ค.61</v>
      </c>
      <c r="K361" s="152"/>
      <c r="L361" s="152"/>
      <c r="M361" s="24"/>
      <c r="N361" s="126"/>
      <c r="O361" s="126"/>
      <c r="P361" s="126"/>
      <c r="Q361" s="126"/>
      <c r="R361" s="126"/>
      <c r="S361" s="126"/>
      <c r="T361" s="128"/>
      <c r="U361" s="128"/>
      <c r="V361" s="129" t="str">
        <f t="shared" si="48"/>
        <v>100</v>
      </c>
      <c r="W361" s="121">
        <f t="shared" si="47"/>
        <v>81</v>
      </c>
      <c r="X361" s="121"/>
      <c r="Y361" s="121"/>
      <c r="Z361" s="121"/>
      <c r="AA361" s="121"/>
    </row>
    <row r="362" spans="1:27" ht="37.5">
      <c r="A362" s="88"/>
      <c r="B362" s="121" t="s">
        <v>1419</v>
      </c>
      <c r="C362" s="121" t="s">
        <v>25</v>
      </c>
      <c r="D362" s="88" t="s">
        <v>26</v>
      </c>
      <c r="E362" s="24"/>
      <c r="F362" s="24" t="s">
        <v>782</v>
      </c>
      <c r="G362" s="26" t="s">
        <v>78</v>
      </c>
      <c r="H362" s="122">
        <v>670000</v>
      </c>
      <c r="I362" s="123"/>
      <c r="J362" s="131" t="str">
        <f t="shared" si="49"/>
        <v>จากบัญชีของ สน.งปฯ ธ.ค.61</v>
      </c>
      <c r="K362" s="152"/>
      <c r="L362" s="152"/>
      <c r="M362" s="24"/>
      <c r="N362" s="126"/>
      <c r="O362" s="126"/>
      <c r="P362" s="126"/>
      <c r="Q362" s="126"/>
      <c r="R362" s="126"/>
      <c r="S362" s="126"/>
      <c r="T362" s="128"/>
      <c r="U362" s="128"/>
      <c r="V362" s="129" t="str">
        <f t="shared" si="48"/>
        <v>100</v>
      </c>
      <c r="W362" s="121">
        <f t="shared" si="47"/>
        <v>81</v>
      </c>
      <c r="X362" s="121"/>
      <c r="Y362" s="121"/>
      <c r="Z362" s="121"/>
      <c r="AA362" s="121"/>
    </row>
    <row r="363" spans="1:27" ht="37.5">
      <c r="A363" s="88"/>
      <c r="B363" s="121" t="s">
        <v>1420</v>
      </c>
      <c r="C363" s="121" t="s">
        <v>25</v>
      </c>
      <c r="D363" s="88" t="s">
        <v>26</v>
      </c>
      <c r="E363" s="24"/>
      <c r="F363" s="24" t="s">
        <v>1290</v>
      </c>
      <c r="G363" s="26" t="s">
        <v>78</v>
      </c>
      <c r="H363" s="122">
        <v>1247000</v>
      </c>
      <c r="I363" s="123"/>
      <c r="J363" s="131" t="str">
        <f t="shared" si="49"/>
        <v>จากบัญชีของ สน.งปฯ ธ.ค.61</v>
      </c>
      <c r="K363" s="152"/>
      <c r="L363" s="152"/>
      <c r="M363" s="24"/>
      <c r="N363" s="126"/>
      <c r="O363" s="126"/>
      <c r="P363" s="126"/>
      <c r="Q363" s="126"/>
      <c r="R363" s="126"/>
      <c r="S363" s="126"/>
      <c r="T363" s="128"/>
      <c r="U363" s="128"/>
      <c r="V363" s="129" t="str">
        <f t="shared" si="48"/>
        <v>100</v>
      </c>
      <c r="W363" s="121">
        <f t="shared" si="47"/>
        <v>81</v>
      </c>
      <c r="X363" s="121"/>
      <c r="Y363" s="121"/>
      <c r="Z363" s="121"/>
      <c r="AA363" s="121"/>
    </row>
    <row r="364" spans="1:27" ht="37.5">
      <c r="A364" s="88"/>
      <c r="B364" s="121" t="s">
        <v>1421</v>
      </c>
      <c r="C364" s="121" t="s">
        <v>25</v>
      </c>
      <c r="D364" s="88" t="s">
        <v>26</v>
      </c>
      <c r="E364" s="24"/>
      <c r="F364" s="24" t="s">
        <v>1295</v>
      </c>
      <c r="G364" s="26" t="s">
        <v>78</v>
      </c>
      <c r="H364" s="122">
        <v>1700000</v>
      </c>
      <c r="I364" s="123"/>
      <c r="J364" s="131" t="str">
        <f t="shared" si="49"/>
        <v>จากบัญชีของ สน.งปฯ ธ.ค.61</v>
      </c>
      <c r="K364" s="152"/>
      <c r="L364" s="152"/>
      <c r="M364" s="24"/>
      <c r="N364" s="126"/>
      <c r="O364" s="126"/>
      <c r="P364" s="126"/>
      <c r="Q364" s="126"/>
      <c r="R364" s="126"/>
      <c r="S364" s="126"/>
      <c r="T364" s="128"/>
      <c r="U364" s="128"/>
      <c r="V364" s="129" t="str">
        <f t="shared" si="48"/>
        <v>100</v>
      </c>
      <c r="W364" s="121">
        <f t="shared" si="47"/>
        <v>81</v>
      </c>
      <c r="X364" s="121"/>
      <c r="Y364" s="121"/>
      <c r="Z364" s="121"/>
      <c r="AA364" s="121"/>
    </row>
    <row r="365" spans="1:27" ht="37.5">
      <c r="A365" s="88"/>
      <c r="B365" s="121" t="s">
        <v>1422</v>
      </c>
      <c r="C365" s="121" t="s">
        <v>25</v>
      </c>
      <c r="D365" s="88" t="s">
        <v>26</v>
      </c>
      <c r="E365" s="24"/>
      <c r="F365" s="24" t="s">
        <v>1102</v>
      </c>
      <c r="G365" s="26" t="s">
        <v>78</v>
      </c>
      <c r="H365" s="122">
        <v>2364000</v>
      </c>
      <c r="I365" s="123"/>
      <c r="J365" s="131" t="str">
        <f t="shared" si="49"/>
        <v>จากบัญชีของ สน.งปฯ ธ.ค.61</v>
      </c>
      <c r="K365" s="152"/>
      <c r="L365" s="152"/>
      <c r="M365" s="24"/>
      <c r="N365" s="126"/>
      <c r="O365" s="126"/>
      <c r="P365" s="126"/>
      <c r="Q365" s="126"/>
      <c r="R365" s="126"/>
      <c r="S365" s="126"/>
      <c r="T365" s="128"/>
      <c r="U365" s="128"/>
      <c r="V365" s="129" t="str">
        <f t="shared" si="48"/>
        <v>100</v>
      </c>
      <c r="W365" s="121">
        <f t="shared" si="47"/>
        <v>81</v>
      </c>
      <c r="X365" s="121"/>
      <c r="Y365" s="121"/>
      <c r="Z365" s="121"/>
      <c r="AA365" s="121"/>
    </row>
    <row r="366" spans="1:27" ht="37.5">
      <c r="A366" s="88"/>
      <c r="B366" s="121" t="s">
        <v>1423</v>
      </c>
      <c r="C366" s="121" t="s">
        <v>25</v>
      </c>
      <c r="D366" s="88" t="s">
        <v>26</v>
      </c>
      <c r="E366" s="24"/>
      <c r="F366" s="24" t="s">
        <v>1104</v>
      </c>
      <c r="G366" s="26" t="s">
        <v>78</v>
      </c>
      <c r="H366" s="122">
        <v>3350000</v>
      </c>
      <c r="I366" s="123"/>
      <c r="J366" s="131" t="str">
        <f t="shared" si="49"/>
        <v>จากบัญชีของ สน.งปฯ ธ.ค.61</v>
      </c>
      <c r="K366" s="152"/>
      <c r="L366" s="152"/>
      <c r="M366" s="24"/>
      <c r="N366" s="126"/>
      <c r="O366" s="126"/>
      <c r="P366" s="126"/>
      <c r="Q366" s="126"/>
      <c r="R366" s="126"/>
      <c r="S366" s="126"/>
      <c r="T366" s="128"/>
      <c r="U366" s="128"/>
      <c r="V366" s="129" t="str">
        <f t="shared" si="48"/>
        <v>100</v>
      </c>
      <c r="W366" s="121">
        <f t="shared" si="47"/>
        <v>81</v>
      </c>
      <c r="X366" s="121"/>
      <c r="Y366" s="121"/>
      <c r="Z366" s="121"/>
      <c r="AA366" s="121"/>
    </row>
    <row r="367" spans="1:27" ht="56.25">
      <c r="A367" s="88"/>
      <c r="B367" s="121" t="s">
        <v>1424</v>
      </c>
      <c r="C367" s="121" t="s">
        <v>25</v>
      </c>
      <c r="D367" s="88" t="s">
        <v>26</v>
      </c>
      <c r="E367" s="24"/>
      <c r="F367" s="24" t="s">
        <v>1384</v>
      </c>
      <c r="G367" s="26" t="s">
        <v>28</v>
      </c>
      <c r="H367" s="122">
        <v>950000</v>
      </c>
      <c r="I367" s="123"/>
      <c r="J367" s="131" t="str">
        <f t="shared" si="49"/>
        <v>จากบัญชีของ สน.งปฯ ธ.ค.61</v>
      </c>
      <c r="K367" s="152"/>
      <c r="L367" s="152"/>
      <c r="M367" s="24"/>
      <c r="N367" s="126"/>
      <c r="O367" s="126"/>
      <c r="P367" s="126"/>
      <c r="Q367" s="126"/>
      <c r="R367" s="126"/>
      <c r="S367" s="126"/>
      <c r="T367" s="128"/>
      <c r="U367" s="128"/>
      <c r="V367" s="129" t="str">
        <f t="shared" si="48"/>
        <v>100</v>
      </c>
      <c r="W367" s="121">
        <f t="shared" si="47"/>
        <v>81</v>
      </c>
      <c r="X367" s="121"/>
      <c r="Y367" s="121"/>
      <c r="Z367" s="121"/>
      <c r="AA367" s="121"/>
    </row>
    <row r="368" spans="1:27" ht="37.5">
      <c r="A368" s="88"/>
      <c r="B368" s="121" t="s">
        <v>1425</v>
      </c>
      <c r="C368" s="121" t="s">
        <v>25</v>
      </c>
      <c r="D368" s="88" t="s">
        <v>26</v>
      </c>
      <c r="E368" s="24"/>
      <c r="F368" s="24" t="s">
        <v>1385</v>
      </c>
      <c r="G368" s="26" t="s">
        <v>28</v>
      </c>
      <c r="H368" s="122">
        <v>2119000</v>
      </c>
      <c r="I368" s="123"/>
      <c r="J368" s="131" t="str">
        <f t="shared" si="49"/>
        <v>จากบัญชีของ สน.งปฯ ธ.ค.61</v>
      </c>
      <c r="K368" s="152"/>
      <c r="L368" s="152"/>
      <c r="M368" s="24"/>
      <c r="N368" s="126"/>
      <c r="O368" s="126"/>
      <c r="P368" s="126"/>
      <c r="Q368" s="126"/>
      <c r="R368" s="126"/>
      <c r="S368" s="126"/>
      <c r="T368" s="128"/>
      <c r="U368" s="128"/>
      <c r="V368" s="129" t="str">
        <f t="shared" si="48"/>
        <v>100</v>
      </c>
      <c r="W368" s="121">
        <f t="shared" si="47"/>
        <v>81</v>
      </c>
      <c r="X368" s="121"/>
      <c r="Y368" s="121"/>
      <c r="Z368" s="121"/>
      <c r="AA368" s="121"/>
    </row>
    <row r="369" spans="1:27" ht="37.5">
      <c r="A369" s="88"/>
      <c r="B369" s="121" t="s">
        <v>1426</v>
      </c>
      <c r="C369" s="121" t="s">
        <v>25</v>
      </c>
      <c r="D369" s="88" t="s">
        <v>26</v>
      </c>
      <c r="E369" s="24"/>
      <c r="F369" s="24" t="s">
        <v>1386</v>
      </c>
      <c r="G369" s="26" t="s">
        <v>28</v>
      </c>
      <c r="H369" s="122">
        <v>2400000</v>
      </c>
      <c r="I369" s="123"/>
      <c r="J369" s="131" t="str">
        <f t="shared" si="49"/>
        <v>จากบัญชีของ สน.งปฯ ธ.ค.61</v>
      </c>
      <c r="K369" s="152"/>
      <c r="L369" s="152"/>
      <c r="M369" s="24"/>
      <c r="N369" s="126"/>
      <c r="O369" s="126"/>
      <c r="P369" s="126"/>
      <c r="Q369" s="126"/>
      <c r="R369" s="126"/>
      <c r="S369" s="126"/>
      <c r="T369" s="128"/>
      <c r="U369" s="128"/>
      <c r="V369" s="129" t="str">
        <f t="shared" si="48"/>
        <v>100</v>
      </c>
      <c r="W369" s="121">
        <f t="shared" si="47"/>
        <v>81</v>
      </c>
      <c r="X369" s="121"/>
      <c r="Y369" s="121"/>
      <c r="Z369" s="121"/>
      <c r="AA369" s="121"/>
    </row>
    <row r="370" spans="1:27" ht="37.5">
      <c r="A370" s="88"/>
      <c r="B370" s="121" t="s">
        <v>1427</v>
      </c>
      <c r="C370" s="121" t="s">
        <v>25</v>
      </c>
      <c r="D370" s="88" t="s">
        <v>26</v>
      </c>
      <c r="E370" s="24"/>
      <c r="F370" s="24" t="s">
        <v>993</v>
      </c>
      <c r="G370" s="26" t="s">
        <v>48</v>
      </c>
      <c r="H370" s="122">
        <v>14800</v>
      </c>
      <c r="I370" s="123"/>
      <c r="J370" s="131" t="str">
        <f t="shared" si="49"/>
        <v>จากบัญชีของ สน.งปฯ ธ.ค.61</v>
      </c>
      <c r="K370" s="152"/>
      <c r="L370" s="152"/>
      <c r="M370" s="24"/>
      <c r="N370" s="126"/>
      <c r="O370" s="126"/>
      <c r="P370" s="126"/>
      <c r="Q370" s="126"/>
      <c r="R370" s="126"/>
      <c r="S370" s="126"/>
      <c r="T370" s="128"/>
      <c r="U370" s="128"/>
      <c r="V370" s="129" t="str">
        <f t="shared" si="48"/>
        <v>100</v>
      </c>
      <c r="W370" s="121">
        <f t="shared" si="47"/>
        <v>81</v>
      </c>
      <c r="X370" s="121"/>
      <c r="Y370" s="121"/>
      <c r="Z370" s="121"/>
      <c r="AA370" s="121"/>
    </row>
    <row r="371" spans="1:27" ht="37.5">
      <c r="A371" s="88"/>
      <c r="B371" s="121" t="s">
        <v>1428</v>
      </c>
      <c r="C371" s="121" t="s">
        <v>25</v>
      </c>
      <c r="D371" s="88" t="s">
        <v>26</v>
      </c>
      <c r="E371" s="24"/>
      <c r="F371" s="24" t="s">
        <v>1310</v>
      </c>
      <c r="G371" s="26" t="s">
        <v>48</v>
      </c>
      <c r="H371" s="122">
        <v>5500</v>
      </c>
      <c r="I371" s="123"/>
      <c r="J371" s="131" t="str">
        <f t="shared" si="49"/>
        <v>จากบัญชีของ สน.งปฯ ธ.ค.61</v>
      </c>
      <c r="K371" s="152"/>
      <c r="L371" s="152"/>
      <c r="M371" s="24"/>
      <c r="N371" s="126"/>
      <c r="O371" s="126"/>
      <c r="P371" s="126"/>
      <c r="Q371" s="126"/>
      <c r="R371" s="126"/>
      <c r="S371" s="126"/>
      <c r="T371" s="128"/>
      <c r="U371" s="128"/>
      <c r="V371" s="129" t="str">
        <f t="shared" si="48"/>
        <v>100</v>
      </c>
      <c r="W371" s="121">
        <f t="shared" si="47"/>
        <v>81</v>
      </c>
      <c r="X371" s="121"/>
      <c r="Y371" s="121"/>
      <c r="Z371" s="121"/>
      <c r="AA371" s="121"/>
    </row>
    <row r="372" spans="1:27" ht="37.5">
      <c r="A372" s="88"/>
      <c r="B372" s="121" t="s">
        <v>1429</v>
      </c>
      <c r="C372" s="121" t="s">
        <v>25</v>
      </c>
      <c r="D372" s="88" t="s">
        <v>26</v>
      </c>
      <c r="E372" s="24"/>
      <c r="F372" s="24" t="s">
        <v>1312</v>
      </c>
      <c r="G372" s="26" t="s">
        <v>48</v>
      </c>
      <c r="H372" s="122">
        <v>5800</v>
      </c>
      <c r="I372" s="123"/>
      <c r="J372" s="131" t="str">
        <f t="shared" si="49"/>
        <v>จากบัญชีของ สน.งปฯ ธ.ค.61</v>
      </c>
      <c r="K372" s="152"/>
      <c r="L372" s="152"/>
      <c r="M372" s="24"/>
      <c r="N372" s="126"/>
      <c r="O372" s="126"/>
      <c r="P372" s="126"/>
      <c r="Q372" s="126"/>
      <c r="R372" s="126"/>
      <c r="S372" s="126"/>
      <c r="T372" s="128"/>
      <c r="U372" s="128"/>
      <c r="V372" s="129" t="str">
        <f t="shared" si="48"/>
        <v>100</v>
      </c>
      <c r="W372" s="121">
        <f t="shared" si="47"/>
        <v>81</v>
      </c>
      <c r="X372" s="121"/>
      <c r="Y372" s="121"/>
      <c r="Z372" s="121"/>
      <c r="AA372" s="121"/>
    </row>
    <row r="373" spans="1:27" ht="37.5">
      <c r="A373" s="88"/>
      <c r="B373" s="121" t="s">
        <v>1430</v>
      </c>
      <c r="C373" s="121" t="s">
        <v>25</v>
      </c>
      <c r="D373" s="88" t="s">
        <v>26</v>
      </c>
      <c r="E373" s="24"/>
      <c r="F373" s="24" t="s">
        <v>1313</v>
      </c>
      <c r="G373" s="26" t="s">
        <v>48</v>
      </c>
      <c r="H373" s="122">
        <v>6300</v>
      </c>
      <c r="I373" s="123"/>
      <c r="J373" s="131" t="str">
        <f t="shared" si="49"/>
        <v>จากบัญชีของ สน.งปฯ ธ.ค.61</v>
      </c>
      <c r="K373" s="152"/>
      <c r="L373" s="152"/>
      <c r="M373" s="24"/>
      <c r="N373" s="126"/>
      <c r="O373" s="126"/>
      <c r="P373" s="126"/>
      <c r="Q373" s="126"/>
      <c r="R373" s="126"/>
      <c r="S373" s="126"/>
      <c r="T373" s="128"/>
      <c r="U373" s="128"/>
      <c r="V373" s="129" t="str">
        <f t="shared" si="48"/>
        <v>100</v>
      </c>
      <c r="W373" s="121">
        <f t="shared" si="47"/>
        <v>81</v>
      </c>
      <c r="X373" s="121"/>
      <c r="Y373" s="121"/>
      <c r="Z373" s="121"/>
      <c r="AA373" s="121"/>
    </row>
    <row r="374" spans="1:27" ht="37.5">
      <c r="A374" s="88"/>
      <c r="B374" s="121" t="s">
        <v>1431</v>
      </c>
      <c r="C374" s="121" t="s">
        <v>25</v>
      </c>
      <c r="D374" s="88" t="s">
        <v>26</v>
      </c>
      <c r="E374" s="24"/>
      <c r="F374" s="24" t="s">
        <v>1315</v>
      </c>
      <c r="G374" s="26" t="s">
        <v>48</v>
      </c>
      <c r="H374" s="122">
        <v>6500</v>
      </c>
      <c r="I374" s="123"/>
      <c r="J374" s="131" t="str">
        <f t="shared" si="49"/>
        <v>จากบัญชีของ สน.งปฯ ธ.ค.61</v>
      </c>
      <c r="K374" s="152"/>
      <c r="L374" s="152"/>
      <c r="M374" s="24"/>
      <c r="N374" s="126"/>
      <c r="O374" s="126"/>
      <c r="P374" s="126"/>
      <c r="Q374" s="126"/>
      <c r="R374" s="126"/>
      <c r="S374" s="126"/>
      <c r="T374" s="128"/>
      <c r="U374" s="128"/>
      <c r="V374" s="129" t="str">
        <f t="shared" si="48"/>
        <v>100</v>
      </c>
      <c r="W374" s="121">
        <f t="shared" si="47"/>
        <v>81</v>
      </c>
      <c r="X374" s="121"/>
      <c r="Y374" s="121"/>
      <c r="Z374" s="121"/>
      <c r="AA374" s="121"/>
    </row>
    <row r="375" spans="1:27" ht="37.5">
      <c r="A375" s="88"/>
      <c r="B375" s="121" t="s">
        <v>1432</v>
      </c>
      <c r="C375" s="121" t="s">
        <v>25</v>
      </c>
      <c r="D375" s="88" t="s">
        <v>26</v>
      </c>
      <c r="E375" s="24"/>
      <c r="F375" s="24" t="s">
        <v>1302</v>
      </c>
      <c r="G375" s="26" t="s">
        <v>78</v>
      </c>
      <c r="H375" s="122">
        <v>8300</v>
      </c>
      <c r="I375" s="123"/>
      <c r="J375" s="131" t="str">
        <f t="shared" si="49"/>
        <v>จากบัญชีของ สน.งปฯ ธ.ค.61</v>
      </c>
      <c r="K375" s="152"/>
      <c r="L375" s="152"/>
      <c r="M375" s="24"/>
      <c r="N375" s="126"/>
      <c r="O375" s="126"/>
      <c r="P375" s="126"/>
      <c r="Q375" s="126"/>
      <c r="R375" s="126"/>
      <c r="S375" s="126"/>
      <c r="T375" s="128"/>
      <c r="U375" s="128"/>
      <c r="V375" s="129" t="str">
        <f t="shared" si="48"/>
        <v>100</v>
      </c>
      <c r="W375" s="121">
        <f t="shared" si="47"/>
        <v>81</v>
      </c>
      <c r="X375" s="121"/>
      <c r="Y375" s="121"/>
      <c r="Z375" s="121"/>
      <c r="AA375" s="121"/>
    </row>
    <row r="376" spans="1:27" ht="37.5">
      <c r="A376" s="88"/>
      <c r="B376" s="121" t="s">
        <v>1433</v>
      </c>
      <c r="C376" s="121" t="s">
        <v>25</v>
      </c>
      <c r="D376" s="88" t="s">
        <v>26</v>
      </c>
      <c r="E376" s="24"/>
      <c r="F376" s="24" t="s">
        <v>1306</v>
      </c>
      <c r="G376" s="26" t="s">
        <v>78</v>
      </c>
      <c r="H376" s="122">
        <v>7600</v>
      </c>
      <c r="I376" s="123"/>
      <c r="J376" s="131" t="str">
        <f t="shared" si="49"/>
        <v>จากบัญชีของ สน.งปฯ ธ.ค.61</v>
      </c>
      <c r="K376" s="152"/>
      <c r="L376" s="152"/>
      <c r="M376" s="24"/>
      <c r="N376" s="126"/>
      <c r="O376" s="126"/>
      <c r="P376" s="126"/>
      <c r="Q376" s="126"/>
      <c r="R376" s="126"/>
      <c r="S376" s="126"/>
      <c r="T376" s="128"/>
      <c r="U376" s="128"/>
      <c r="V376" s="129" t="str">
        <f t="shared" si="48"/>
        <v>100</v>
      </c>
      <c r="W376" s="121">
        <f t="shared" si="47"/>
        <v>81</v>
      </c>
      <c r="X376" s="121"/>
      <c r="Y376" s="121"/>
      <c r="Z376" s="121"/>
      <c r="AA376" s="121"/>
    </row>
    <row r="377" spans="1:27" ht="37.5">
      <c r="A377" s="88"/>
      <c r="B377" s="121" t="s">
        <v>1434</v>
      </c>
      <c r="C377" s="121" t="s">
        <v>25</v>
      </c>
      <c r="D377" s="88" t="s">
        <v>26</v>
      </c>
      <c r="E377" s="24"/>
      <c r="F377" s="24" t="s">
        <v>1304</v>
      </c>
      <c r="G377" s="26" t="s">
        <v>78</v>
      </c>
      <c r="H377" s="122">
        <v>9300</v>
      </c>
      <c r="I377" s="123"/>
      <c r="J377" s="131" t="str">
        <f t="shared" si="49"/>
        <v>จากบัญชีของ สน.งปฯ ธ.ค.61</v>
      </c>
      <c r="K377" s="152"/>
      <c r="L377" s="152"/>
      <c r="M377" s="24"/>
      <c r="N377" s="126"/>
      <c r="O377" s="126"/>
      <c r="P377" s="126"/>
      <c r="Q377" s="126"/>
      <c r="R377" s="126"/>
      <c r="S377" s="126"/>
      <c r="T377" s="128"/>
      <c r="U377" s="128"/>
      <c r="V377" s="129" t="str">
        <f t="shared" si="48"/>
        <v>100</v>
      </c>
      <c r="W377" s="121">
        <f t="shared" si="47"/>
        <v>81</v>
      </c>
      <c r="X377" s="121"/>
      <c r="Y377" s="121"/>
      <c r="Z377" s="121"/>
      <c r="AA377" s="121"/>
    </row>
    <row r="378" spans="1:27" ht="37.5">
      <c r="A378" s="88"/>
      <c r="B378" s="121" t="s">
        <v>1435</v>
      </c>
      <c r="C378" s="121" t="s">
        <v>25</v>
      </c>
      <c r="D378" s="88" t="s">
        <v>26</v>
      </c>
      <c r="E378" s="24"/>
      <c r="F378" s="24" t="s">
        <v>1393</v>
      </c>
      <c r="G378" s="26" t="s">
        <v>78</v>
      </c>
      <c r="H378" s="122">
        <v>5600</v>
      </c>
      <c r="I378" s="123"/>
      <c r="J378" s="131" t="str">
        <f t="shared" si="49"/>
        <v>จากบัญชีของ สน.งปฯ ธ.ค.61</v>
      </c>
      <c r="K378" s="152"/>
      <c r="L378" s="152"/>
      <c r="M378" s="24"/>
      <c r="N378" s="126"/>
      <c r="O378" s="126"/>
      <c r="P378" s="126"/>
      <c r="Q378" s="126"/>
      <c r="R378" s="126"/>
      <c r="S378" s="126"/>
      <c r="T378" s="128"/>
      <c r="U378" s="128"/>
      <c r="V378" s="129" t="str">
        <f t="shared" si="48"/>
        <v>100</v>
      </c>
      <c r="W378" s="121">
        <f t="shared" si="47"/>
        <v>81</v>
      </c>
      <c r="X378" s="121"/>
      <c r="Y378" s="121"/>
      <c r="Z378" s="121"/>
      <c r="AA378" s="121"/>
    </row>
    <row r="379" spans="1:27" ht="37.5">
      <c r="A379" s="88"/>
      <c r="B379" s="121" t="s">
        <v>1436</v>
      </c>
      <c r="C379" s="121" t="s">
        <v>25</v>
      </c>
      <c r="D379" s="88" t="s">
        <v>26</v>
      </c>
      <c r="E379" s="24"/>
      <c r="F379" s="24" t="s">
        <v>1394</v>
      </c>
      <c r="G379" s="26" t="s">
        <v>78</v>
      </c>
      <c r="H379" s="122">
        <v>6900</v>
      </c>
      <c r="I379" s="123"/>
      <c r="J379" s="131" t="str">
        <f t="shared" si="49"/>
        <v>จากบัญชีของ สน.งปฯ ธ.ค.61</v>
      </c>
      <c r="K379" s="152"/>
      <c r="L379" s="152"/>
      <c r="M379" s="24"/>
      <c r="N379" s="126"/>
      <c r="O379" s="126"/>
      <c r="P379" s="126"/>
      <c r="Q379" s="126"/>
      <c r="R379" s="126"/>
      <c r="S379" s="126"/>
      <c r="T379" s="128"/>
      <c r="U379" s="128"/>
      <c r="V379" s="129" t="str">
        <f t="shared" si="48"/>
        <v>100</v>
      </c>
      <c r="W379" s="121">
        <f t="shared" si="47"/>
        <v>81</v>
      </c>
      <c r="X379" s="121"/>
      <c r="Y379" s="121"/>
      <c r="Z379" s="121"/>
      <c r="AA379" s="121"/>
    </row>
    <row r="380" spans="1:27" ht="37.5">
      <c r="A380" s="88"/>
      <c r="B380" s="121" t="s">
        <v>1437</v>
      </c>
      <c r="C380" s="121" t="s">
        <v>25</v>
      </c>
      <c r="D380" s="88" t="s">
        <v>26</v>
      </c>
      <c r="E380" s="24"/>
      <c r="F380" s="24" t="s">
        <v>1362</v>
      </c>
      <c r="G380" s="26" t="s">
        <v>78</v>
      </c>
      <c r="H380" s="122">
        <v>11000</v>
      </c>
      <c r="I380" s="123"/>
      <c r="J380" s="131" t="str">
        <f t="shared" si="49"/>
        <v>จากบัญชีของ สน.งปฯ ธ.ค.61</v>
      </c>
      <c r="K380" s="152"/>
      <c r="L380" s="158"/>
      <c r="M380" s="24"/>
      <c r="N380" s="126"/>
      <c r="O380" s="126"/>
      <c r="P380" s="126"/>
      <c r="Q380" s="126"/>
      <c r="R380" s="126"/>
      <c r="S380" s="126"/>
      <c r="T380" s="128"/>
      <c r="U380" s="128"/>
      <c r="V380" s="129" t="str">
        <f t="shared" si="48"/>
        <v>100</v>
      </c>
      <c r="W380" s="121">
        <f t="shared" si="47"/>
        <v>81</v>
      </c>
      <c r="X380" s="121"/>
      <c r="Y380" s="121"/>
      <c r="Z380" s="121"/>
      <c r="AA380" s="121"/>
    </row>
    <row r="381" spans="1:27" ht="37.5">
      <c r="A381" s="88"/>
      <c r="B381" s="121" t="s">
        <v>1438</v>
      </c>
      <c r="C381" s="121" t="s">
        <v>25</v>
      </c>
      <c r="D381" s="88" t="s">
        <v>26</v>
      </c>
      <c r="E381" s="24"/>
      <c r="F381" s="24" t="s">
        <v>1363</v>
      </c>
      <c r="G381" s="26" t="s">
        <v>78</v>
      </c>
      <c r="H381" s="122">
        <v>15000</v>
      </c>
      <c r="I381" s="123"/>
      <c r="J381" s="131" t="str">
        <f t="shared" si="49"/>
        <v>จากบัญชีของ สน.งปฯ ธ.ค.61</v>
      </c>
      <c r="K381" s="152"/>
      <c r="L381" s="152"/>
      <c r="M381" s="24"/>
      <c r="N381" s="126"/>
      <c r="O381" s="126"/>
      <c r="P381" s="126"/>
      <c r="Q381" s="126"/>
      <c r="R381" s="126"/>
      <c r="S381" s="126"/>
      <c r="T381" s="128"/>
      <c r="U381" s="128"/>
      <c r="V381" s="129" t="str">
        <f t="shared" si="48"/>
        <v>100</v>
      </c>
      <c r="W381" s="121">
        <f t="shared" si="47"/>
        <v>81</v>
      </c>
      <c r="X381" s="121"/>
      <c r="Y381" s="121"/>
      <c r="Z381" s="121"/>
      <c r="AA381" s="121"/>
    </row>
    <row r="382" spans="1:27" ht="37.5">
      <c r="A382" s="88"/>
      <c r="B382" s="121" t="s">
        <v>1439</v>
      </c>
      <c r="C382" s="121" t="s">
        <v>25</v>
      </c>
      <c r="D382" s="88" t="s">
        <v>26</v>
      </c>
      <c r="E382" s="24"/>
      <c r="F382" s="24" t="s">
        <v>1364</v>
      </c>
      <c r="G382" s="26" t="s">
        <v>78</v>
      </c>
      <c r="H382" s="122">
        <v>27700</v>
      </c>
      <c r="I382" s="123"/>
      <c r="J382" s="131" t="str">
        <f t="shared" si="49"/>
        <v>จากบัญชีของ สน.งปฯ ธ.ค.61</v>
      </c>
      <c r="K382" s="152"/>
      <c r="L382" s="152"/>
      <c r="M382" s="24"/>
      <c r="N382" s="126"/>
      <c r="O382" s="126"/>
      <c r="P382" s="126"/>
      <c r="Q382" s="126"/>
      <c r="R382" s="126"/>
      <c r="S382" s="126"/>
      <c r="T382" s="128"/>
      <c r="U382" s="128"/>
      <c r="V382" s="129" t="str">
        <f t="shared" si="48"/>
        <v>100</v>
      </c>
      <c r="W382" s="121">
        <f t="shared" si="47"/>
        <v>81</v>
      </c>
      <c r="X382" s="121"/>
      <c r="Y382" s="121"/>
      <c r="Z382" s="121"/>
      <c r="AA382" s="121"/>
    </row>
    <row r="383" spans="1:27" ht="37.5">
      <c r="A383" s="88"/>
      <c r="B383" s="121" t="s">
        <v>1440</v>
      </c>
      <c r="C383" s="121" t="s">
        <v>25</v>
      </c>
      <c r="D383" s="88" t="s">
        <v>26</v>
      </c>
      <c r="E383" s="24"/>
      <c r="F383" s="24" t="s">
        <v>1368</v>
      </c>
      <c r="G383" s="26" t="s">
        <v>78</v>
      </c>
      <c r="H383" s="122">
        <v>21400</v>
      </c>
      <c r="I383" s="123"/>
      <c r="J383" s="131" t="str">
        <f t="shared" si="49"/>
        <v>จากบัญชีของ สน.งปฯ ธ.ค.61</v>
      </c>
      <c r="K383" s="152"/>
      <c r="L383" s="152"/>
      <c r="M383" s="24"/>
      <c r="N383" s="126"/>
      <c r="O383" s="126"/>
      <c r="P383" s="126"/>
      <c r="Q383" s="126"/>
      <c r="R383" s="126"/>
      <c r="S383" s="126"/>
      <c r="T383" s="128"/>
      <c r="U383" s="128"/>
      <c r="V383" s="129" t="str">
        <f t="shared" si="48"/>
        <v>100</v>
      </c>
      <c r="W383" s="121">
        <f t="shared" si="47"/>
        <v>81</v>
      </c>
      <c r="X383" s="121"/>
      <c r="Y383" s="121"/>
      <c r="Z383" s="121"/>
      <c r="AA383" s="121"/>
    </row>
    <row r="384" spans="1:27" ht="37.5">
      <c r="A384" s="88"/>
      <c r="B384" s="121" t="s">
        <v>1441</v>
      </c>
      <c r="C384" s="121" t="s">
        <v>25</v>
      </c>
      <c r="D384" s="88" t="s">
        <v>26</v>
      </c>
      <c r="E384" s="24"/>
      <c r="F384" s="24" t="s">
        <v>1365</v>
      </c>
      <c r="G384" s="26" t="s">
        <v>78</v>
      </c>
      <c r="H384" s="122">
        <v>25000</v>
      </c>
      <c r="I384" s="123"/>
      <c r="J384" s="131" t="str">
        <f t="shared" si="49"/>
        <v>จากบัญชีของ สน.งปฯ ธ.ค.61</v>
      </c>
      <c r="K384" s="152"/>
      <c r="L384" s="152"/>
      <c r="M384" s="24"/>
      <c r="N384" s="126"/>
      <c r="O384" s="126"/>
      <c r="P384" s="126"/>
      <c r="Q384" s="126"/>
      <c r="R384" s="126"/>
      <c r="S384" s="126"/>
      <c r="T384" s="128"/>
      <c r="U384" s="128"/>
      <c r="V384" s="129" t="str">
        <f t="shared" si="48"/>
        <v>100</v>
      </c>
      <c r="W384" s="121">
        <f t="shared" si="47"/>
        <v>81</v>
      </c>
      <c r="X384" s="121"/>
      <c r="Y384" s="121"/>
      <c r="Z384" s="121"/>
      <c r="AA384" s="121"/>
    </row>
    <row r="385" spans="1:27" ht="37.5">
      <c r="A385" s="88"/>
      <c r="B385" s="121" t="s">
        <v>1442</v>
      </c>
      <c r="C385" s="121" t="s">
        <v>25</v>
      </c>
      <c r="D385" s="88" t="s">
        <v>26</v>
      </c>
      <c r="E385" s="24"/>
      <c r="F385" s="24" t="s">
        <v>1366</v>
      </c>
      <c r="G385" s="26" t="s">
        <v>78</v>
      </c>
      <c r="H385" s="122">
        <v>30000</v>
      </c>
      <c r="I385" s="123"/>
      <c r="J385" s="131" t="str">
        <f t="shared" si="49"/>
        <v>จากบัญชีของ สน.งปฯ ธ.ค.61</v>
      </c>
      <c r="K385" s="152"/>
      <c r="L385" s="152"/>
      <c r="M385" s="24"/>
      <c r="N385" s="126"/>
      <c r="O385" s="126"/>
      <c r="P385" s="126"/>
      <c r="Q385" s="126"/>
      <c r="R385" s="126"/>
      <c r="S385" s="126"/>
      <c r="T385" s="128"/>
      <c r="U385" s="128"/>
      <c r="V385" s="129" t="str">
        <f t="shared" si="48"/>
        <v>100</v>
      </c>
      <c r="W385" s="121">
        <f t="shared" si="47"/>
        <v>81</v>
      </c>
      <c r="X385" s="121"/>
      <c r="Y385" s="121"/>
      <c r="Z385" s="121"/>
      <c r="AA385" s="121"/>
    </row>
    <row r="386" spans="1:27" ht="37.5">
      <c r="A386" s="88"/>
      <c r="B386" s="121" t="s">
        <v>1443</v>
      </c>
      <c r="C386" s="121" t="s">
        <v>25</v>
      </c>
      <c r="D386" s="88" t="s">
        <v>26</v>
      </c>
      <c r="E386" s="24"/>
      <c r="F386" s="24" t="s">
        <v>1367</v>
      </c>
      <c r="G386" s="26" t="s">
        <v>78</v>
      </c>
      <c r="H386" s="122">
        <v>40000</v>
      </c>
      <c r="I386" s="123"/>
      <c r="J386" s="131" t="str">
        <f t="shared" si="49"/>
        <v>จากบัญชีของ สน.งปฯ ธ.ค.61</v>
      </c>
      <c r="K386" s="152"/>
      <c r="L386" s="152"/>
      <c r="M386" s="24"/>
      <c r="N386" s="126"/>
      <c r="O386" s="126"/>
      <c r="P386" s="126"/>
      <c r="Q386" s="126"/>
      <c r="R386" s="126"/>
      <c r="S386" s="126"/>
      <c r="T386" s="128"/>
      <c r="U386" s="128"/>
      <c r="V386" s="129" t="str">
        <f t="shared" si="48"/>
        <v>100</v>
      </c>
      <c r="W386" s="121">
        <f t="shared" si="47"/>
        <v>81</v>
      </c>
      <c r="X386" s="121"/>
      <c r="Y386" s="121"/>
      <c r="Z386" s="121"/>
      <c r="AA386" s="121"/>
    </row>
    <row r="387" spans="1:27" ht="37.5">
      <c r="A387" s="88"/>
      <c r="B387" s="121" t="s">
        <v>1444</v>
      </c>
      <c r="C387" s="121" t="s">
        <v>25</v>
      </c>
      <c r="D387" s="88" t="s">
        <v>26</v>
      </c>
      <c r="E387" s="24"/>
      <c r="F387" s="24" t="s">
        <v>1321</v>
      </c>
      <c r="G387" s="26" t="s">
        <v>78</v>
      </c>
      <c r="H387" s="122">
        <v>30100</v>
      </c>
      <c r="I387" s="123"/>
      <c r="J387" s="131" t="str">
        <f t="shared" si="49"/>
        <v>จากบัญชีของ สน.งปฯ ธ.ค.61</v>
      </c>
      <c r="K387" s="152"/>
      <c r="L387" s="152"/>
      <c r="M387" s="24"/>
      <c r="N387" s="126"/>
      <c r="O387" s="126"/>
      <c r="P387" s="126"/>
      <c r="Q387" s="126"/>
      <c r="R387" s="126"/>
      <c r="S387" s="126"/>
      <c r="T387" s="128"/>
      <c r="U387" s="128"/>
      <c r="V387" s="129" t="str">
        <f t="shared" si="48"/>
        <v>100</v>
      </c>
      <c r="W387" s="121">
        <f t="shared" si="47"/>
        <v>81</v>
      </c>
      <c r="X387" s="121"/>
      <c r="Y387" s="121"/>
      <c r="Z387" s="121"/>
      <c r="AA387" s="121"/>
    </row>
    <row r="388" spans="1:27" ht="37.5">
      <c r="A388" s="88"/>
      <c r="B388" s="121" t="s">
        <v>1445</v>
      </c>
      <c r="C388" s="121" t="s">
        <v>25</v>
      </c>
      <c r="D388" s="88" t="s">
        <v>26</v>
      </c>
      <c r="E388" s="24"/>
      <c r="F388" s="24" t="s">
        <v>1318</v>
      </c>
      <c r="G388" s="26" t="s">
        <v>78</v>
      </c>
      <c r="H388" s="122">
        <v>25900</v>
      </c>
      <c r="I388" s="123"/>
      <c r="J388" s="131" t="str">
        <f t="shared" si="49"/>
        <v>จากบัญชีของ สน.งปฯ ธ.ค.61</v>
      </c>
      <c r="K388" s="152"/>
      <c r="L388" s="152"/>
      <c r="M388" s="24"/>
      <c r="N388" s="126"/>
      <c r="O388" s="126"/>
      <c r="P388" s="126"/>
      <c r="Q388" s="126"/>
      <c r="R388" s="126"/>
      <c r="S388" s="126"/>
      <c r="T388" s="128"/>
      <c r="U388" s="128"/>
      <c r="V388" s="129" t="str">
        <f t="shared" si="48"/>
        <v>100</v>
      </c>
      <c r="W388" s="121">
        <f t="shared" si="47"/>
        <v>81</v>
      </c>
      <c r="X388" s="121"/>
      <c r="Y388" s="121"/>
      <c r="Z388" s="121"/>
      <c r="AA388" s="121"/>
    </row>
    <row r="389" spans="1:27" ht="37.5">
      <c r="A389" s="88"/>
      <c r="B389" s="121" t="s">
        <v>1446</v>
      </c>
      <c r="C389" s="121" t="s">
        <v>25</v>
      </c>
      <c r="D389" s="88" t="s">
        <v>26</v>
      </c>
      <c r="E389" s="24"/>
      <c r="F389" s="24" t="s">
        <v>1322</v>
      </c>
      <c r="G389" s="26" t="s">
        <v>78</v>
      </c>
      <c r="H389" s="122">
        <v>34800</v>
      </c>
      <c r="I389" s="123"/>
      <c r="J389" s="131" t="str">
        <f t="shared" si="49"/>
        <v>จากบัญชีของ สน.งปฯ ธ.ค.61</v>
      </c>
      <c r="K389" s="152"/>
      <c r="L389" s="152"/>
      <c r="M389" s="24"/>
      <c r="N389" s="126"/>
      <c r="O389" s="126"/>
      <c r="P389" s="126"/>
      <c r="Q389" s="126"/>
      <c r="R389" s="126"/>
      <c r="S389" s="126"/>
      <c r="T389" s="128"/>
      <c r="U389" s="128"/>
      <c r="V389" s="129" t="str">
        <f t="shared" si="48"/>
        <v>100</v>
      </c>
      <c r="W389" s="121">
        <f t="shared" si="47"/>
        <v>81</v>
      </c>
      <c r="X389" s="121"/>
      <c r="Y389" s="121"/>
      <c r="Z389" s="121"/>
      <c r="AA389" s="121"/>
    </row>
    <row r="390" spans="1:27" ht="37.5">
      <c r="A390" s="88"/>
      <c r="B390" s="121" t="s">
        <v>1447</v>
      </c>
      <c r="C390" s="121" t="s">
        <v>25</v>
      </c>
      <c r="D390" s="88" t="s">
        <v>26</v>
      </c>
      <c r="E390" s="24"/>
      <c r="F390" s="24" t="s">
        <v>1324</v>
      </c>
      <c r="G390" s="26" t="s">
        <v>78</v>
      </c>
      <c r="H390" s="122">
        <v>41500</v>
      </c>
      <c r="I390" s="123"/>
      <c r="J390" s="131" t="str">
        <f t="shared" si="49"/>
        <v>จากบัญชีของ สน.งปฯ ธ.ค.61</v>
      </c>
      <c r="K390" s="152"/>
      <c r="L390" s="152"/>
      <c r="M390" s="24"/>
      <c r="N390" s="126"/>
      <c r="O390" s="126"/>
      <c r="P390" s="126"/>
      <c r="Q390" s="126"/>
      <c r="R390" s="126"/>
      <c r="S390" s="126"/>
      <c r="T390" s="128"/>
      <c r="U390" s="128"/>
      <c r="V390" s="129" t="str">
        <f t="shared" si="48"/>
        <v>100</v>
      </c>
      <c r="W390" s="121">
        <f t="shared" si="47"/>
        <v>81</v>
      </c>
      <c r="X390" s="121"/>
      <c r="Y390" s="121"/>
      <c r="Z390" s="121"/>
      <c r="AA390" s="121"/>
    </row>
    <row r="391" spans="1:27" ht="37.5">
      <c r="A391" s="88"/>
      <c r="B391" s="121" t="s">
        <v>1448</v>
      </c>
      <c r="C391" s="121" t="s">
        <v>25</v>
      </c>
      <c r="D391" s="88" t="s">
        <v>26</v>
      </c>
      <c r="E391" s="24"/>
      <c r="F391" s="24" t="s">
        <v>1326</v>
      </c>
      <c r="G391" s="26" t="s">
        <v>78</v>
      </c>
      <c r="H391" s="122">
        <v>43400</v>
      </c>
      <c r="I391" s="123"/>
      <c r="J391" s="131" t="str">
        <f t="shared" si="49"/>
        <v>จากบัญชีของ สน.งปฯ ธ.ค.61</v>
      </c>
      <c r="K391" s="152"/>
      <c r="L391" s="152"/>
      <c r="M391" s="24"/>
      <c r="N391" s="126"/>
      <c r="O391" s="126"/>
      <c r="P391" s="126"/>
      <c r="Q391" s="126"/>
      <c r="R391" s="126"/>
      <c r="S391" s="126"/>
      <c r="T391" s="128"/>
      <c r="U391" s="128"/>
      <c r="V391" s="129" t="str">
        <f t="shared" si="48"/>
        <v>100</v>
      </c>
      <c r="W391" s="121">
        <f t="shared" si="47"/>
        <v>81</v>
      </c>
      <c r="X391" s="121"/>
      <c r="Y391" s="121"/>
      <c r="Z391" s="121"/>
      <c r="AA391" s="121"/>
    </row>
    <row r="392" spans="1:27" ht="37.5">
      <c r="A392" s="88"/>
      <c r="B392" s="121" t="s">
        <v>1449</v>
      </c>
      <c r="C392" s="121" t="s">
        <v>25</v>
      </c>
      <c r="D392" s="88" t="s">
        <v>26</v>
      </c>
      <c r="E392" s="24"/>
      <c r="F392" s="24" t="s">
        <v>1319</v>
      </c>
      <c r="G392" s="26" t="s">
        <v>78</v>
      </c>
      <c r="H392" s="122">
        <v>36000</v>
      </c>
      <c r="I392" s="123"/>
      <c r="J392" s="131" t="str">
        <f t="shared" si="49"/>
        <v>จากบัญชีของ สน.งปฯ ธ.ค.61</v>
      </c>
      <c r="K392" s="152"/>
      <c r="L392" s="152"/>
      <c r="M392" s="24"/>
      <c r="N392" s="126"/>
      <c r="O392" s="126"/>
      <c r="P392" s="126"/>
      <c r="Q392" s="126"/>
      <c r="R392" s="126"/>
      <c r="S392" s="126"/>
      <c r="T392" s="128"/>
      <c r="U392" s="128"/>
      <c r="V392" s="129" t="str">
        <f t="shared" si="48"/>
        <v>100</v>
      </c>
      <c r="W392" s="121">
        <f t="shared" si="47"/>
        <v>81</v>
      </c>
      <c r="X392" s="121"/>
      <c r="Y392" s="121"/>
      <c r="Z392" s="121"/>
      <c r="AA392" s="121"/>
    </row>
    <row r="393" spans="1:27" ht="37.5">
      <c r="A393" s="88"/>
      <c r="B393" s="121" t="s">
        <v>1450</v>
      </c>
      <c r="C393" s="121" t="s">
        <v>25</v>
      </c>
      <c r="D393" s="88" t="s">
        <v>26</v>
      </c>
      <c r="E393" s="24"/>
      <c r="F393" s="24" t="s">
        <v>1328</v>
      </c>
      <c r="G393" s="26" t="s">
        <v>78</v>
      </c>
      <c r="H393" s="122">
        <v>48100</v>
      </c>
      <c r="I393" s="123"/>
      <c r="J393" s="131" t="str">
        <f t="shared" si="49"/>
        <v>จากบัญชีของ สน.งปฯ ธ.ค.61</v>
      </c>
      <c r="K393" s="152"/>
      <c r="L393" s="152"/>
      <c r="M393" s="24"/>
      <c r="N393" s="126"/>
      <c r="O393" s="126"/>
      <c r="P393" s="126"/>
      <c r="Q393" s="126"/>
      <c r="R393" s="126"/>
      <c r="S393" s="126"/>
      <c r="T393" s="128"/>
      <c r="U393" s="128"/>
      <c r="V393" s="129" t="str">
        <f t="shared" si="48"/>
        <v>100</v>
      </c>
      <c r="W393" s="121">
        <f t="shared" si="47"/>
        <v>81</v>
      </c>
      <c r="X393" s="121"/>
      <c r="Y393" s="121"/>
      <c r="Z393" s="121"/>
      <c r="AA393" s="121"/>
    </row>
    <row r="394" spans="1:27" ht="37.5">
      <c r="A394" s="88"/>
      <c r="B394" s="121" t="s">
        <v>1451</v>
      </c>
      <c r="C394" s="121" t="s">
        <v>25</v>
      </c>
      <c r="D394" s="88" t="s">
        <v>26</v>
      </c>
      <c r="E394" s="24"/>
      <c r="F394" s="24" t="s">
        <v>1320</v>
      </c>
      <c r="G394" s="26" t="s">
        <v>78</v>
      </c>
      <c r="H394" s="122">
        <v>42300</v>
      </c>
      <c r="I394" s="123"/>
      <c r="J394" s="131" t="str">
        <f t="shared" si="49"/>
        <v>จากบัญชีของ สน.งปฯ ธ.ค.61</v>
      </c>
      <c r="K394" s="152"/>
      <c r="L394" s="152"/>
      <c r="M394" s="24"/>
      <c r="N394" s="126"/>
      <c r="O394" s="126"/>
      <c r="P394" s="126"/>
      <c r="Q394" s="126"/>
      <c r="R394" s="126"/>
      <c r="S394" s="126"/>
      <c r="T394" s="128"/>
      <c r="U394" s="128"/>
      <c r="V394" s="129" t="str">
        <f t="shared" si="48"/>
        <v>100</v>
      </c>
      <c r="W394" s="121">
        <f t="shared" si="47"/>
        <v>81</v>
      </c>
      <c r="X394" s="121"/>
      <c r="Y394" s="121"/>
      <c r="Z394" s="121"/>
      <c r="AA394" s="121"/>
    </row>
    <row r="395" spans="1:27" ht="37.5">
      <c r="A395" s="88"/>
      <c r="B395" s="121" t="s">
        <v>1452</v>
      </c>
      <c r="C395" s="121" t="s">
        <v>25</v>
      </c>
      <c r="D395" s="88" t="s">
        <v>26</v>
      </c>
      <c r="E395" s="24"/>
      <c r="F395" s="24" t="s">
        <v>1330</v>
      </c>
      <c r="G395" s="26" t="s">
        <v>78</v>
      </c>
      <c r="H395" s="122">
        <v>55400</v>
      </c>
      <c r="I395" s="123"/>
      <c r="J395" s="131" t="str">
        <f t="shared" si="49"/>
        <v>จากบัญชีของ สน.งปฯ ธ.ค.61</v>
      </c>
      <c r="K395" s="152"/>
      <c r="L395" s="152"/>
      <c r="M395" s="24"/>
      <c r="N395" s="126"/>
      <c r="O395" s="126"/>
      <c r="P395" s="126"/>
      <c r="Q395" s="126"/>
      <c r="R395" s="126"/>
      <c r="S395" s="126"/>
      <c r="T395" s="128"/>
      <c r="U395" s="128"/>
      <c r="V395" s="129" t="str">
        <f t="shared" si="48"/>
        <v>100</v>
      </c>
      <c r="W395" s="121">
        <f t="shared" si="47"/>
        <v>81</v>
      </c>
      <c r="X395" s="121"/>
      <c r="Y395" s="121"/>
      <c r="Z395" s="121"/>
      <c r="AA395" s="121"/>
    </row>
    <row r="396" spans="1:27" ht="37.5">
      <c r="A396" s="88"/>
      <c r="B396" s="121" t="s">
        <v>1453</v>
      </c>
      <c r="C396" s="121" t="s">
        <v>25</v>
      </c>
      <c r="D396" s="88" t="s">
        <v>26</v>
      </c>
      <c r="E396" s="24"/>
      <c r="F396" s="24" t="s">
        <v>1332</v>
      </c>
      <c r="G396" s="26" t="s">
        <v>78</v>
      </c>
      <c r="H396" s="122">
        <v>62700</v>
      </c>
      <c r="I396" s="123"/>
      <c r="J396" s="131" t="str">
        <f t="shared" si="49"/>
        <v>จากบัญชีของ สน.งปฯ ธ.ค.61</v>
      </c>
      <c r="K396" s="152"/>
      <c r="L396" s="152"/>
      <c r="M396" s="24"/>
      <c r="N396" s="126"/>
      <c r="O396" s="126"/>
      <c r="P396" s="126"/>
      <c r="Q396" s="126"/>
      <c r="R396" s="126"/>
      <c r="S396" s="126"/>
      <c r="T396" s="128"/>
      <c r="U396" s="128"/>
      <c r="V396" s="129" t="str">
        <f t="shared" si="48"/>
        <v>100</v>
      </c>
      <c r="W396" s="121">
        <f t="shared" si="47"/>
        <v>81</v>
      </c>
      <c r="X396" s="121"/>
      <c r="Y396" s="121"/>
      <c r="Z396" s="121"/>
      <c r="AA396" s="121"/>
    </row>
    <row r="397" spans="1:27" ht="37.5">
      <c r="A397" s="88"/>
      <c r="B397" s="121" t="s">
        <v>1454</v>
      </c>
      <c r="C397" s="121" t="s">
        <v>25</v>
      </c>
      <c r="D397" s="88" t="s">
        <v>26</v>
      </c>
      <c r="E397" s="24"/>
      <c r="F397" s="24" t="s">
        <v>691</v>
      </c>
      <c r="G397" s="26" t="s">
        <v>78</v>
      </c>
      <c r="H397" s="122">
        <v>53300</v>
      </c>
      <c r="I397" s="123"/>
      <c r="J397" s="131" t="str">
        <f t="shared" si="49"/>
        <v>จากบัญชีของ สน.งปฯ ธ.ค.61</v>
      </c>
      <c r="K397" s="152"/>
      <c r="L397" s="152"/>
      <c r="M397" s="24"/>
      <c r="N397" s="126"/>
      <c r="O397" s="126"/>
      <c r="P397" s="126"/>
      <c r="Q397" s="126"/>
      <c r="R397" s="126"/>
      <c r="S397" s="126"/>
      <c r="T397" s="128"/>
      <c r="U397" s="128"/>
      <c r="V397" s="129" t="str">
        <f t="shared" si="48"/>
        <v>100</v>
      </c>
      <c r="W397" s="121">
        <f t="shared" si="47"/>
        <v>81</v>
      </c>
      <c r="X397" s="121"/>
      <c r="Y397" s="121"/>
      <c r="Z397" s="121"/>
      <c r="AA397" s="121"/>
    </row>
    <row r="398" spans="1:27" ht="37.5">
      <c r="A398" s="88"/>
      <c r="B398" s="121" t="s">
        <v>1455</v>
      </c>
      <c r="C398" s="121" t="s">
        <v>25</v>
      </c>
      <c r="D398" s="88" t="s">
        <v>26</v>
      </c>
      <c r="E398" s="24"/>
      <c r="F398" s="24" t="s">
        <v>1334</v>
      </c>
      <c r="G398" s="26" t="s">
        <v>78</v>
      </c>
      <c r="H398" s="122">
        <v>71000</v>
      </c>
      <c r="I398" s="123"/>
      <c r="J398" s="131" t="str">
        <f t="shared" si="49"/>
        <v>จากบัญชีของ สน.งปฯ ธ.ค.61</v>
      </c>
      <c r="K398" s="152"/>
      <c r="L398" s="152"/>
      <c r="M398" s="24"/>
      <c r="N398" s="126"/>
      <c r="O398" s="126"/>
      <c r="P398" s="126"/>
      <c r="Q398" s="126"/>
      <c r="R398" s="126"/>
      <c r="S398" s="126"/>
      <c r="T398" s="128"/>
      <c r="U398" s="128"/>
      <c r="V398" s="129" t="str">
        <f t="shared" si="48"/>
        <v>100</v>
      </c>
      <c r="W398" s="121">
        <f t="shared" si="47"/>
        <v>81</v>
      </c>
      <c r="X398" s="121"/>
      <c r="Y398" s="121"/>
      <c r="Z398" s="121"/>
      <c r="AA398" s="121"/>
    </row>
    <row r="399" spans="1:27" ht="37.5">
      <c r="A399" s="88"/>
      <c r="B399" s="121" t="s">
        <v>1456</v>
      </c>
      <c r="C399" s="121" t="s">
        <v>25</v>
      </c>
      <c r="D399" s="88" t="s">
        <v>26</v>
      </c>
      <c r="E399" s="24"/>
      <c r="F399" s="24" t="s">
        <v>701</v>
      </c>
      <c r="G399" s="26" t="s">
        <v>78</v>
      </c>
      <c r="H399" s="122">
        <v>57000</v>
      </c>
      <c r="I399" s="123"/>
      <c r="J399" s="131" t="str">
        <f t="shared" si="49"/>
        <v>จากบัญชีของ สน.งปฯ ธ.ค.61</v>
      </c>
      <c r="K399" s="152"/>
      <c r="L399" s="152"/>
      <c r="M399" s="46"/>
      <c r="N399" s="126"/>
      <c r="O399" s="126"/>
      <c r="P399" s="126"/>
      <c r="Q399" s="126"/>
      <c r="R399" s="126"/>
      <c r="S399" s="126"/>
      <c r="T399" s="128"/>
      <c r="U399" s="128"/>
      <c r="V399" s="129" t="str">
        <f t="shared" si="48"/>
        <v>100</v>
      </c>
      <c r="W399" s="121">
        <f t="shared" si="47"/>
        <v>81</v>
      </c>
      <c r="X399" s="121"/>
      <c r="Y399" s="121"/>
      <c r="Z399" s="121"/>
      <c r="AA399" s="121"/>
    </row>
    <row r="400" spans="1:27" ht="37.5">
      <c r="A400" s="88"/>
      <c r="B400" s="121" t="s">
        <v>1457</v>
      </c>
      <c r="C400" s="121" t="s">
        <v>25</v>
      </c>
      <c r="D400" s="88" t="s">
        <v>26</v>
      </c>
      <c r="E400" s="24"/>
      <c r="F400" s="24" t="s">
        <v>1338</v>
      </c>
      <c r="G400" s="26" t="s">
        <v>78</v>
      </c>
      <c r="H400" s="122">
        <v>24200</v>
      </c>
      <c r="I400" s="123"/>
      <c r="J400" s="131" t="str">
        <f t="shared" si="49"/>
        <v>จากบัญชีของ สน.งปฯ ธ.ค.61</v>
      </c>
      <c r="K400" s="152"/>
      <c r="L400" s="152"/>
      <c r="M400" s="24"/>
      <c r="N400" s="126"/>
      <c r="O400" s="126"/>
      <c r="P400" s="126"/>
      <c r="Q400" s="126"/>
      <c r="R400" s="126"/>
      <c r="S400" s="126"/>
      <c r="T400" s="128"/>
      <c r="U400" s="128"/>
      <c r="V400" s="129" t="str">
        <f t="shared" si="48"/>
        <v>100</v>
      </c>
      <c r="W400" s="121">
        <f t="shared" si="47"/>
        <v>81</v>
      </c>
      <c r="X400" s="121"/>
      <c r="Y400" s="121"/>
      <c r="Z400" s="121"/>
      <c r="AA400" s="121"/>
    </row>
    <row r="401" spans="1:27" ht="37.5">
      <c r="A401" s="88"/>
      <c r="B401" s="121" t="s">
        <v>1458</v>
      </c>
      <c r="C401" s="121" t="s">
        <v>25</v>
      </c>
      <c r="D401" s="88" t="s">
        <v>26</v>
      </c>
      <c r="E401" s="24"/>
      <c r="F401" s="24" t="s">
        <v>1339</v>
      </c>
      <c r="G401" s="26" t="s">
        <v>78</v>
      </c>
      <c r="H401" s="122">
        <v>27400</v>
      </c>
      <c r="I401" s="123"/>
      <c r="J401" s="131" t="str">
        <f t="shared" si="49"/>
        <v>จากบัญชีของ สน.งปฯ ธ.ค.61</v>
      </c>
      <c r="K401" s="152"/>
      <c r="L401" s="152"/>
      <c r="M401" s="24"/>
      <c r="N401" s="126"/>
      <c r="O401" s="126"/>
      <c r="P401" s="126"/>
      <c r="Q401" s="126"/>
      <c r="R401" s="126"/>
      <c r="S401" s="126"/>
      <c r="T401" s="128"/>
      <c r="U401" s="128"/>
      <c r="V401" s="129" t="str">
        <f t="shared" si="48"/>
        <v>100</v>
      </c>
      <c r="W401" s="121">
        <f t="shared" si="47"/>
        <v>81</v>
      </c>
      <c r="X401" s="121"/>
      <c r="Y401" s="121"/>
      <c r="Z401" s="121"/>
      <c r="AA401" s="121"/>
    </row>
    <row r="402" spans="1:27" ht="37.5">
      <c r="A402" s="88"/>
      <c r="B402" s="121" t="s">
        <v>1459</v>
      </c>
      <c r="C402" s="121" t="s">
        <v>25</v>
      </c>
      <c r="D402" s="88" t="s">
        <v>26</v>
      </c>
      <c r="E402" s="24"/>
      <c r="F402" s="24" t="s">
        <v>1340</v>
      </c>
      <c r="G402" s="26" t="s">
        <v>78</v>
      </c>
      <c r="H402" s="122">
        <v>29900</v>
      </c>
      <c r="I402" s="123"/>
      <c r="J402" s="131" t="str">
        <f t="shared" si="49"/>
        <v>จากบัญชีของ สน.งปฯ ธ.ค.61</v>
      </c>
      <c r="K402" s="152"/>
      <c r="L402" s="152"/>
      <c r="M402" s="24"/>
      <c r="N402" s="126"/>
      <c r="O402" s="126"/>
      <c r="P402" s="126"/>
      <c r="Q402" s="126"/>
      <c r="R402" s="126"/>
      <c r="S402" s="126"/>
      <c r="T402" s="128"/>
      <c r="U402" s="128"/>
      <c r="V402" s="129" t="str">
        <f t="shared" si="48"/>
        <v>100</v>
      </c>
      <c r="W402" s="121">
        <f t="shared" si="47"/>
        <v>81</v>
      </c>
      <c r="X402" s="121"/>
      <c r="Y402" s="121"/>
      <c r="Z402" s="121"/>
      <c r="AA402" s="121"/>
    </row>
    <row r="403" spans="1:27" ht="37.5">
      <c r="A403" s="88"/>
      <c r="B403" s="121" t="s">
        <v>1460</v>
      </c>
      <c r="C403" s="121" t="s">
        <v>25</v>
      </c>
      <c r="D403" s="88" t="s">
        <v>26</v>
      </c>
      <c r="E403" s="24"/>
      <c r="F403" s="24" t="s">
        <v>1341</v>
      </c>
      <c r="G403" s="26" t="s">
        <v>78</v>
      </c>
      <c r="H403" s="122">
        <v>36400</v>
      </c>
      <c r="I403" s="123"/>
      <c r="J403" s="131" t="str">
        <f t="shared" si="49"/>
        <v>จากบัญชีของ สน.งปฯ ธ.ค.61</v>
      </c>
      <c r="K403" s="152"/>
      <c r="L403" s="152"/>
      <c r="M403" s="24"/>
      <c r="N403" s="126"/>
      <c r="O403" s="126"/>
      <c r="P403" s="126"/>
      <c r="Q403" s="126"/>
      <c r="R403" s="126"/>
      <c r="S403" s="126"/>
      <c r="T403" s="128"/>
      <c r="U403" s="128"/>
      <c r="V403" s="129" t="str">
        <f t="shared" si="48"/>
        <v>100</v>
      </c>
      <c r="W403" s="121">
        <f t="shared" si="47"/>
        <v>81</v>
      </c>
      <c r="X403" s="121"/>
      <c r="Y403" s="121"/>
      <c r="Z403" s="121"/>
      <c r="AA403" s="121"/>
    </row>
    <row r="404" spans="1:27" ht="37.5">
      <c r="A404" s="88"/>
      <c r="B404" s="121" t="s">
        <v>1461</v>
      </c>
      <c r="C404" s="121" t="s">
        <v>25</v>
      </c>
      <c r="D404" s="88" t="s">
        <v>26</v>
      </c>
      <c r="E404" s="24"/>
      <c r="F404" s="24" t="s">
        <v>1342</v>
      </c>
      <c r="G404" s="26" t="s">
        <v>78</v>
      </c>
      <c r="H404" s="122">
        <v>58000</v>
      </c>
      <c r="I404" s="123"/>
      <c r="J404" s="131" t="str">
        <f t="shared" si="49"/>
        <v>จากบัญชีของ สน.งปฯ ธ.ค.61</v>
      </c>
      <c r="K404" s="152"/>
      <c r="L404" s="152"/>
      <c r="M404" s="24"/>
      <c r="N404" s="126"/>
      <c r="O404" s="126"/>
      <c r="P404" s="126"/>
      <c r="Q404" s="126"/>
      <c r="R404" s="126"/>
      <c r="S404" s="126"/>
      <c r="T404" s="128"/>
      <c r="U404" s="128"/>
      <c r="V404" s="129" t="str">
        <f t="shared" si="48"/>
        <v>100</v>
      </c>
      <c r="W404" s="121">
        <f t="shared" si="47"/>
        <v>81</v>
      </c>
      <c r="X404" s="121"/>
      <c r="Y404" s="121"/>
      <c r="Z404" s="121"/>
      <c r="AA404" s="121"/>
    </row>
    <row r="405" spans="1:27" ht="37.5">
      <c r="A405" s="88"/>
      <c r="B405" s="121" t="s">
        <v>1462</v>
      </c>
      <c r="C405" s="121" t="s">
        <v>25</v>
      </c>
      <c r="D405" s="88" t="s">
        <v>26</v>
      </c>
      <c r="E405" s="24"/>
      <c r="F405" s="24" t="s">
        <v>1343</v>
      </c>
      <c r="G405" s="26" t="s">
        <v>78</v>
      </c>
      <c r="H405" s="122">
        <v>61000</v>
      </c>
      <c r="I405" s="123"/>
      <c r="J405" s="131" t="str">
        <f t="shared" si="49"/>
        <v>จากบัญชีของ สน.งปฯ ธ.ค.61</v>
      </c>
      <c r="K405" s="152"/>
      <c r="L405" s="152"/>
      <c r="M405" s="24"/>
      <c r="N405" s="126"/>
      <c r="O405" s="126"/>
      <c r="P405" s="126"/>
      <c r="Q405" s="126"/>
      <c r="R405" s="126"/>
      <c r="S405" s="126"/>
      <c r="T405" s="128"/>
      <c r="U405" s="128"/>
      <c r="V405" s="129" t="str">
        <f t="shared" si="48"/>
        <v>100</v>
      </c>
      <c r="W405" s="121">
        <f t="shared" si="47"/>
        <v>81</v>
      </c>
      <c r="X405" s="121"/>
      <c r="Y405" s="121"/>
      <c r="Z405" s="121"/>
      <c r="AA405" s="121"/>
    </row>
    <row r="406" spans="1:27" ht="37.5">
      <c r="A406" s="88"/>
      <c r="B406" s="121" t="s">
        <v>1463</v>
      </c>
      <c r="C406" s="121" t="s">
        <v>25</v>
      </c>
      <c r="D406" s="88" t="s">
        <v>26</v>
      </c>
      <c r="E406" s="24"/>
      <c r="F406" s="24" t="s">
        <v>1308</v>
      </c>
      <c r="G406" s="26" t="s">
        <v>78</v>
      </c>
      <c r="H406" s="122">
        <v>20000</v>
      </c>
      <c r="I406" s="123"/>
      <c r="J406" s="131" t="str">
        <f t="shared" si="49"/>
        <v>จากบัญชีของ สน.งปฯ ธ.ค.61</v>
      </c>
      <c r="K406" s="152"/>
      <c r="L406" s="152"/>
      <c r="M406" s="24"/>
      <c r="N406" s="126"/>
      <c r="O406" s="126"/>
      <c r="P406" s="126"/>
      <c r="Q406" s="126"/>
      <c r="R406" s="126"/>
      <c r="S406" s="126"/>
      <c r="T406" s="128"/>
      <c r="U406" s="128"/>
      <c r="V406" s="129" t="str">
        <f t="shared" si="48"/>
        <v>100</v>
      </c>
      <c r="W406" s="121">
        <f t="shared" si="47"/>
        <v>81</v>
      </c>
      <c r="X406" s="121"/>
      <c r="Y406" s="121"/>
      <c r="Z406" s="121"/>
      <c r="AA406" s="121"/>
    </row>
    <row r="407" spans="1:27" ht="37.5">
      <c r="A407" s="88"/>
      <c r="B407" s="121" t="s">
        <v>1395</v>
      </c>
      <c r="C407" s="121" t="s">
        <v>1396</v>
      </c>
      <c r="D407" s="88" t="s">
        <v>26</v>
      </c>
      <c r="E407" s="24"/>
      <c r="F407" s="24" t="s">
        <v>1397</v>
      </c>
      <c r="G407" s="26" t="s">
        <v>273</v>
      </c>
      <c r="H407" s="122">
        <v>47000</v>
      </c>
      <c r="I407" s="123"/>
      <c r="J407" s="131" t="str">
        <f t="shared" si="49"/>
        <v>จากบัญชีของ สน.งปฯ ธ.ค.61</v>
      </c>
      <c r="K407" s="152"/>
      <c r="L407" s="152"/>
      <c r="M407" s="24"/>
      <c r="N407" s="126"/>
      <c r="O407" s="126"/>
      <c r="P407" s="126"/>
      <c r="Q407" s="126"/>
      <c r="R407" s="126"/>
      <c r="S407" s="126"/>
      <c r="T407" s="128"/>
      <c r="U407" s="128"/>
      <c r="V407" s="129"/>
      <c r="W407" s="121"/>
      <c r="X407" s="121"/>
      <c r="Y407" s="121"/>
      <c r="Z407" s="121"/>
      <c r="AA407" s="121"/>
    </row>
    <row r="408" spans="1:27" ht="37.5">
      <c r="A408" s="88"/>
      <c r="B408" s="121" t="s">
        <v>1398</v>
      </c>
      <c r="C408" s="121" t="s">
        <v>1396</v>
      </c>
      <c r="D408" s="88" t="s">
        <v>26</v>
      </c>
      <c r="E408" s="24"/>
      <c r="F408" s="24" t="s">
        <v>1399</v>
      </c>
      <c r="G408" s="26" t="s">
        <v>78</v>
      </c>
      <c r="H408" s="122">
        <v>55000</v>
      </c>
      <c r="I408" s="123"/>
      <c r="J408" s="131" t="str">
        <f t="shared" si="49"/>
        <v>จากบัญชีของ สน.งปฯ ธ.ค.61</v>
      </c>
      <c r="K408" s="152"/>
      <c r="L408" s="152"/>
      <c r="M408" s="24"/>
      <c r="N408" s="126"/>
      <c r="O408" s="126"/>
      <c r="P408" s="126"/>
      <c r="Q408" s="126"/>
      <c r="R408" s="126"/>
      <c r="S408" s="126"/>
      <c r="T408" s="128"/>
      <c r="U408" s="128"/>
      <c r="V408" s="129"/>
      <c r="W408" s="121"/>
      <c r="X408" s="121"/>
      <c r="Y408" s="121"/>
      <c r="Z408" s="121"/>
      <c r="AA408" s="142"/>
    </row>
  </sheetData>
  <autoFilter ref="A1:Z408" xr:uid="{00000000-0009-0000-0000-00000A000000}"/>
  <dataValidations count="11">
    <dataValidation type="list" allowBlank="1" sqref="S14 S18 S52 S69 S79 S81 S91 S96 S98 S118:S119 S124 S126:S127 S133 S178 S181 S311" xr:uid="{00000000-0002-0000-0A00-000000000000}">
      <formula1>"ยังไม่่ส่งไฟล์ ที่ใช้ในการประชุม,พร้อม"</formula1>
    </dataValidation>
    <dataValidation type="list" allowBlank="1" sqref="C3:C20 C22:C23 C26:C28 C30:C40 C42:C47 C49:C60 C62:C77 O90 C79:C98 C110:C116 C118:C130 C132:C168 C170:C178 C180:C182 C184:C189 C191:C193 C195:C220 C223:C224 C226:C227 C230:C231 C233:C275 C277:C282 C285:C311 C313 C315:C316 C319:C321 C323:C324" xr:uid="{00000000-0002-0000-0A00-000001000000}">
      <formula1>"กวก.ฯ,กอค.ฯ,กสน.ฯ,กรง.ฯ,กดก.ฯ,กปภ.ฯ,กฟฟ.ฯ,ชย.ทอ."</formula1>
    </dataValidation>
    <dataValidation type="list" allowBlank="1" sqref="N14 N18 N52 N69 N79 N81 N91 N96 N98 N118:N119 N124 N126:N127 N133 N178 N181 N311" xr:uid="{00000000-0002-0000-0A00-000002000000}">
      <formula1>"ไม่ผ่านการประชุมขากกองฯ,พร้อม"</formula1>
    </dataValidation>
    <dataValidation type="list" allowBlank="1" sqref="A64 A303 A306:A307" xr:uid="{00000000-0002-0000-0A00-000003000000}">
      <formula1>"รอการขอยกเลิกคุณลักษณะ,รอเข้าพิจารณา คุณลักษณะฯ,อยู่ระหว่างการพิจารณา คุณลักษณะฯ,ผ่านการพิจารณา รอ จก.ชย.ทอ.ลงนาม,รอเข้าพิจารณา คำแนะนำฯ,อยู่ระหว่างการพิจารณา คำแนะนำฯ,ผ่านการพิจารณาคำแนะนำ รอ จก.ชย.ทอ.ลงนาม.,เอกสารไม่พร้อมเข้าประชุม"</formula1>
    </dataValidation>
    <dataValidation type="list" allowBlank="1" sqref="R14 R18 R52 R69 R79 R81 R91 R96 R98 R118:R119 R124 R126:R127 R133 R178 R181 R311" xr:uid="{00000000-0002-0000-0A00-000004000000}">
      <formula1>"ยังไม่ถ่ายสำเนาให้กรรมการ 12 ชุด,พร้อม"</formula1>
    </dataValidation>
    <dataValidation type="list" allowBlank="1" sqref="O14 O18 O52 O69 O79 O81 O91 O96 O98 O118:O119 O124 O126:O127 O133 O178 O181 O311" xr:uid="{00000000-0002-0000-0A00-000005000000}">
      <formula1>"เอกสารคู่เทียบไม่พร้อม,พร้อม"</formula1>
    </dataValidation>
    <dataValidation type="list" allowBlank="1" sqref="A3:A20 A22 A26:A28 A30:A40 A42:A47 A49:A60 A62:A63 A65:A77 A79:A116 A118:A130 A132:A168 A170:A178 A180:A182 A184:A189 A191:A193 A195:A220 A223:A224 A226:A227 A230:A231 A233:A275 A277:A282 A285:A295 A297:A302 A304:A305 A308:A311 A313:A316 A319:A321 A323:A324 A326:A408" xr:uid="{00000000-0002-0000-0A00-000006000000}">
      <formula1>"รอการขอยกเลิกคุณลักษณะ,รอเข้าพิจารณา คุณลักษณะฯ,อยู่ระหว่างการพิจารณา คุณลักษณะฯ,ผ่านการพิจารณา รอ จก.ชย.ทอ.ลงนาม,รอเข้าพิจารณา คำแนะนำฯ,อยู่ระหว่างการพิจารณา คำแนะนำฯ,ผ่านการพิจารณาคำแนะนำ รอ จก.ชย.ทอ.ลงนาม"</formula1>
    </dataValidation>
    <dataValidation type="list" allowBlank="1" sqref="P14 P18 P52 P69 P79 P81 P91 P96 P98 P118:P119 P124 P126:P127 P133 P178 P181 P311" xr:uid="{00000000-0002-0000-0A00-000007000000}">
      <formula1>"ตารางเปรียบเทียบคุณสมบัติ,พร้อม"</formula1>
    </dataValidation>
    <dataValidation type="list" allowBlank="1" sqref="A23" xr:uid="{00000000-0002-0000-0A00-000008000000}">
      <formula1>"รอเข้าพิจารณา คุณลักษณะฯ,รอเข้าพิจารณา คำแนะนำฯ,อยู่ระหว่างการพิจารณา คุณลักษณะฯ,อยู่ระหว่างการพิจารณา คำแนะนำฯ,รอการขอยกเลิกคุณลักษณะ"</formula1>
    </dataValidation>
    <dataValidation type="list" allowBlank="1" sqref="Q14 Q18 Q52 Q69 Q79 Q81 Q91 Q96 Q98 Q118:Q119 Q124 Q126:Q127 Q133 Q178 Q181 Q311" xr:uid="{00000000-0002-0000-0A00-000009000000}">
      <formula1>"ยังไม่ส่งราคาของแต่ละยี่ห้อ,พร้อม"</formula1>
    </dataValidation>
    <dataValidation type="list" allowBlank="1" sqref="A296" xr:uid="{00000000-0002-0000-0A00-00000A000000}">
      <formula1>"รอการขอยกเลิกคุณลักษณะ,รอเข้าพิจารณา คุณลักษณะฯ,อยู่ระหว่างการพิจารณา คุณลักษณะฯ,ผ่านการพิจารณา รอ จก.ชย.ทอ.ลงนาม,รอเข้าพิจารณา คำแนะนำฯ,อยู่ระหว่างการพิจารณา คำแนะนำฯ,ผ่านการพิจารณาคำแนะนำ รอ จก.ชย.ทอ.ลงนาม.,เอกสารไม่พร้อมเข้าพิจารณา"</formula1>
    </dataValidation>
  </dataValidations>
  <printOptions horizontalCentered="1" gridLines="1"/>
  <pageMargins left="0.30439361596856057" right="0.2309192948727011" top="0.36365118008373154" bottom="0.36377952755905513" header="0" footer="0"/>
  <pageSetup paperSize="9" fitToHeight="0" pageOrder="overThenDown" orientation="portrait" cellComments="atEnd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T516"/>
  <sheetViews>
    <sheetView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H2" sqref="H2"/>
    </sheetView>
  </sheetViews>
  <sheetFormatPr defaultColWidth="14.42578125" defaultRowHeight="15.75" customHeight="1"/>
  <cols>
    <col min="1" max="1" width="7.28515625" customWidth="1"/>
    <col min="2" max="2" width="7.42578125" customWidth="1"/>
    <col min="3" max="3" width="8" customWidth="1"/>
    <col min="4" max="4" width="11.85546875" customWidth="1"/>
    <col min="5" max="5" width="5.42578125" customWidth="1"/>
    <col min="6" max="6" width="34.85546875" customWidth="1"/>
    <col min="7" max="7" width="7.28515625" customWidth="1"/>
    <col min="8" max="9" width="12" customWidth="1"/>
    <col min="10" max="10" width="11.5703125" customWidth="1"/>
    <col min="11" max="12" width="14.42578125" hidden="1"/>
    <col min="13" max="13" width="42.140625" customWidth="1"/>
    <col min="14" max="14" width="15" customWidth="1"/>
    <col min="15" max="15" width="8" customWidth="1"/>
    <col min="16" max="16" width="8.140625" customWidth="1"/>
    <col min="17" max="17" width="9.7109375" customWidth="1"/>
    <col min="18" max="18" width="9" customWidth="1"/>
    <col min="19" max="20" width="9.7109375" customWidth="1"/>
  </cols>
  <sheetData>
    <row r="1" spans="1:20" ht="15.75" customHeight="1">
      <c r="A1" s="159"/>
      <c r="B1" s="160" t="s">
        <v>1464</v>
      </c>
      <c r="C1" s="160" t="s">
        <v>2</v>
      </c>
      <c r="D1" s="160" t="s">
        <v>3</v>
      </c>
      <c r="E1" s="160" t="s">
        <v>1465</v>
      </c>
      <c r="F1" s="161" t="s">
        <v>1466</v>
      </c>
      <c r="G1" s="160" t="s">
        <v>1467</v>
      </c>
      <c r="H1" s="160" t="s">
        <v>1468</v>
      </c>
      <c r="I1" s="160" t="s">
        <v>1469</v>
      </c>
      <c r="J1" s="162" t="s">
        <v>1470</v>
      </c>
      <c r="K1" s="160" t="s">
        <v>1471</v>
      </c>
      <c r="L1" s="160" t="s">
        <v>1472</v>
      </c>
      <c r="M1" s="161" t="s">
        <v>11</v>
      </c>
      <c r="N1" s="161" t="s">
        <v>1473</v>
      </c>
      <c r="O1" s="161" t="s">
        <v>1474</v>
      </c>
      <c r="P1" s="163" t="s">
        <v>1475</v>
      </c>
      <c r="Q1" s="163" t="s">
        <v>1476</v>
      </c>
      <c r="R1" s="163" t="s">
        <v>1477</v>
      </c>
      <c r="S1" s="163" t="s">
        <v>1478</v>
      </c>
      <c r="T1" s="163" t="s">
        <v>1479</v>
      </c>
    </row>
    <row r="2" spans="1:20" ht="15.75" customHeight="1">
      <c r="A2" s="164"/>
      <c r="B2" s="165"/>
      <c r="C2" s="165"/>
      <c r="D2" s="166"/>
      <c r="E2" s="165"/>
      <c r="F2" s="167"/>
      <c r="G2" s="168"/>
      <c r="H2" s="169"/>
      <c r="I2" s="169"/>
      <c r="J2" s="170"/>
      <c r="K2" s="171"/>
      <c r="L2" s="172"/>
      <c r="M2" s="173"/>
      <c r="N2" s="174"/>
      <c r="O2" s="165"/>
      <c r="P2" s="174"/>
      <c r="Q2" s="174"/>
      <c r="R2" s="174"/>
      <c r="S2" s="174"/>
      <c r="T2" s="174"/>
    </row>
    <row r="3" spans="1:20" ht="15.75" customHeight="1">
      <c r="A3" s="164"/>
      <c r="B3" s="165"/>
      <c r="C3" s="165"/>
      <c r="D3" s="166"/>
      <c r="E3" s="165"/>
      <c r="F3" s="167"/>
      <c r="G3" s="168"/>
      <c r="H3" s="169"/>
      <c r="I3" s="169"/>
      <c r="J3" s="170"/>
      <c r="K3" s="171"/>
      <c r="L3" s="172"/>
      <c r="M3" s="173"/>
      <c r="N3" s="174"/>
      <c r="O3" s="165"/>
      <c r="P3" s="174"/>
      <c r="Q3" s="174"/>
      <c r="R3" s="174"/>
      <c r="S3" s="174"/>
      <c r="T3" s="174"/>
    </row>
    <row r="4" spans="1:20" ht="15.75" customHeight="1">
      <c r="A4" s="164"/>
      <c r="B4" s="165"/>
      <c r="C4" s="165"/>
      <c r="D4" s="166"/>
      <c r="E4" s="165"/>
      <c r="F4" s="167"/>
      <c r="G4" s="168"/>
      <c r="H4" s="169"/>
      <c r="I4" s="169"/>
      <c r="J4" s="170"/>
      <c r="K4" s="171"/>
      <c r="L4" s="172"/>
      <c r="M4" s="173"/>
      <c r="N4" s="174"/>
      <c r="O4" s="165"/>
      <c r="P4" s="174"/>
      <c r="Q4" s="174"/>
      <c r="R4" s="174"/>
      <c r="S4" s="174"/>
      <c r="T4" s="174"/>
    </row>
    <row r="5" spans="1:20" ht="15.75" customHeight="1">
      <c r="A5" s="164"/>
      <c r="B5" s="165"/>
      <c r="C5" s="165"/>
      <c r="D5" s="166"/>
      <c r="E5" s="165"/>
      <c r="F5" s="167"/>
      <c r="G5" s="168"/>
      <c r="H5" s="169"/>
      <c r="I5" s="169"/>
      <c r="J5" s="170"/>
      <c r="K5" s="171"/>
      <c r="L5" s="172"/>
      <c r="M5" s="173"/>
      <c r="N5" s="174"/>
      <c r="O5" s="165"/>
      <c r="P5" s="174"/>
      <c r="Q5" s="174"/>
      <c r="R5" s="174"/>
      <c r="S5" s="174"/>
      <c r="T5" s="174"/>
    </row>
    <row r="6" spans="1:20" ht="15.75" customHeight="1">
      <c r="A6" s="164"/>
      <c r="B6" s="165"/>
      <c r="C6" s="165"/>
      <c r="D6" s="166"/>
      <c r="E6" s="165"/>
      <c r="F6" s="167"/>
      <c r="G6" s="168"/>
      <c r="H6" s="169"/>
      <c r="I6" s="169"/>
      <c r="J6" s="170"/>
      <c r="K6" s="171"/>
      <c r="L6" s="172"/>
      <c r="M6" s="173"/>
      <c r="N6" s="174"/>
      <c r="O6" s="165"/>
      <c r="P6" s="174"/>
      <c r="Q6" s="174"/>
      <c r="R6" s="174"/>
      <c r="S6" s="174"/>
      <c r="T6" s="174"/>
    </row>
    <row r="7" spans="1:20" ht="15.75" customHeight="1">
      <c r="A7" s="164"/>
      <c r="B7" s="165"/>
      <c r="C7" s="165"/>
      <c r="D7" s="166"/>
      <c r="E7" s="165"/>
      <c r="F7" s="167"/>
      <c r="G7" s="168"/>
      <c r="H7" s="169"/>
      <c r="I7" s="169"/>
      <c r="J7" s="170"/>
      <c r="K7" s="171"/>
      <c r="L7" s="172"/>
      <c r="M7" s="173"/>
      <c r="N7" s="174"/>
      <c r="O7" s="165"/>
      <c r="P7" s="174"/>
      <c r="Q7" s="174"/>
      <c r="R7" s="174"/>
      <c r="S7" s="174"/>
      <c r="T7" s="174"/>
    </row>
    <row r="8" spans="1:20" ht="15.75" customHeight="1">
      <c r="A8" s="164"/>
      <c r="B8" s="165"/>
      <c r="C8" s="165"/>
      <c r="D8" s="166"/>
      <c r="E8" s="165"/>
      <c r="F8" s="167"/>
      <c r="G8" s="168"/>
      <c r="H8" s="169"/>
      <c r="I8" s="169"/>
      <c r="J8" s="170"/>
      <c r="K8" s="171"/>
      <c r="L8" s="172"/>
      <c r="M8" s="173"/>
      <c r="N8" s="174"/>
      <c r="O8" s="165"/>
      <c r="P8" s="174"/>
      <c r="Q8" s="174"/>
      <c r="R8" s="174"/>
      <c r="S8" s="174"/>
      <c r="T8" s="174"/>
    </row>
    <row r="9" spans="1:20" ht="15.75" customHeight="1">
      <c r="A9" s="164"/>
      <c r="B9" s="165"/>
      <c r="C9" s="165"/>
      <c r="D9" s="166"/>
      <c r="E9" s="165"/>
      <c r="F9" s="167"/>
      <c r="G9" s="168"/>
      <c r="H9" s="169"/>
      <c r="I9" s="169"/>
      <c r="J9" s="170"/>
      <c r="K9" s="171"/>
      <c r="L9" s="172"/>
      <c r="M9" s="173"/>
      <c r="N9" s="174"/>
      <c r="O9" s="165"/>
      <c r="P9" s="174"/>
      <c r="Q9" s="174"/>
      <c r="R9" s="174"/>
      <c r="S9" s="174"/>
      <c r="T9" s="174"/>
    </row>
    <row r="10" spans="1:20" ht="15.75" customHeight="1">
      <c r="A10" s="164"/>
      <c r="B10" s="165"/>
      <c r="C10" s="165"/>
      <c r="D10" s="166"/>
      <c r="E10" s="165"/>
      <c r="F10" s="167"/>
      <c r="G10" s="168"/>
      <c r="H10" s="169"/>
      <c r="I10" s="169"/>
      <c r="J10" s="170"/>
      <c r="K10" s="171"/>
      <c r="L10" s="172"/>
      <c r="M10" s="173"/>
      <c r="N10" s="174"/>
      <c r="O10" s="165"/>
      <c r="P10" s="174"/>
      <c r="Q10" s="174"/>
      <c r="R10" s="174"/>
      <c r="S10" s="174"/>
      <c r="T10" s="174"/>
    </row>
    <row r="11" spans="1:20" ht="15.75" customHeight="1">
      <c r="A11" s="164"/>
      <c r="B11" s="165"/>
      <c r="C11" s="165"/>
      <c r="D11" s="166"/>
      <c r="E11" s="165"/>
      <c r="F11" s="167"/>
      <c r="G11" s="168"/>
      <c r="H11" s="169"/>
      <c r="I11" s="169"/>
      <c r="J11" s="170"/>
      <c r="K11" s="171"/>
      <c r="L11" s="172"/>
      <c r="M11" s="173"/>
      <c r="N11" s="174"/>
      <c r="O11" s="165"/>
      <c r="P11" s="174"/>
      <c r="Q11" s="174"/>
      <c r="R11" s="174"/>
      <c r="S11" s="174"/>
      <c r="T11" s="174"/>
    </row>
    <row r="12" spans="1:20" ht="15.75" customHeight="1">
      <c r="A12" s="164"/>
      <c r="B12" s="165"/>
      <c r="C12" s="165"/>
      <c r="D12" s="166"/>
      <c r="E12" s="165"/>
      <c r="F12" s="167"/>
      <c r="G12" s="168"/>
      <c r="H12" s="169"/>
      <c r="I12" s="169"/>
      <c r="J12" s="170"/>
      <c r="K12" s="171"/>
      <c r="L12" s="172"/>
      <c r="M12" s="173"/>
      <c r="N12" s="174"/>
      <c r="O12" s="165"/>
      <c r="P12" s="174"/>
      <c r="Q12" s="174"/>
      <c r="R12" s="174"/>
      <c r="S12" s="174"/>
      <c r="T12" s="174"/>
    </row>
    <row r="13" spans="1:20" ht="15.75" customHeight="1">
      <c r="A13" s="164"/>
      <c r="B13" s="165"/>
      <c r="C13" s="165"/>
      <c r="D13" s="166"/>
      <c r="E13" s="165"/>
      <c r="F13" s="167"/>
      <c r="G13" s="168"/>
      <c r="H13" s="169"/>
      <c r="I13" s="169"/>
      <c r="J13" s="170"/>
      <c r="K13" s="171"/>
      <c r="L13" s="172"/>
      <c r="M13" s="173"/>
      <c r="N13" s="174"/>
      <c r="O13" s="165"/>
      <c r="P13" s="174"/>
      <c r="Q13" s="174"/>
      <c r="R13" s="174"/>
      <c r="S13" s="174"/>
      <c r="T13" s="174"/>
    </row>
    <row r="14" spans="1:20" ht="15.75" customHeight="1">
      <c r="A14" s="164"/>
      <c r="B14" s="165"/>
      <c r="C14" s="165"/>
      <c r="D14" s="166"/>
      <c r="E14" s="165"/>
      <c r="F14" s="167"/>
      <c r="G14" s="168"/>
      <c r="H14" s="169"/>
      <c r="I14" s="169"/>
      <c r="J14" s="170"/>
      <c r="K14" s="171"/>
      <c r="L14" s="172"/>
      <c r="M14" s="173"/>
      <c r="N14" s="174"/>
      <c r="O14" s="165"/>
      <c r="P14" s="174"/>
      <c r="Q14" s="174"/>
      <c r="R14" s="174"/>
      <c r="S14" s="174"/>
      <c r="T14" s="174"/>
    </row>
    <row r="15" spans="1:20" ht="15.75" customHeight="1">
      <c r="A15" s="164"/>
      <c r="B15" s="175"/>
      <c r="C15" s="175"/>
      <c r="D15" s="172"/>
      <c r="E15" s="175"/>
      <c r="F15" s="167"/>
      <c r="G15" s="168"/>
      <c r="H15" s="169"/>
      <c r="I15" s="169"/>
      <c r="J15" s="170"/>
      <c r="K15" s="171"/>
      <c r="L15" s="172"/>
      <c r="M15" s="173"/>
      <c r="N15" s="174"/>
      <c r="O15" s="165"/>
      <c r="P15" s="174"/>
      <c r="Q15" s="174"/>
      <c r="R15" s="174"/>
      <c r="S15" s="174"/>
      <c r="T15" s="174"/>
    </row>
    <row r="16" spans="1:20" ht="15.75" customHeight="1">
      <c r="A16" s="164"/>
      <c r="B16" s="175"/>
      <c r="C16" s="175"/>
      <c r="D16" s="172"/>
      <c r="E16" s="175"/>
      <c r="F16" s="167"/>
      <c r="G16" s="168"/>
      <c r="H16" s="169"/>
      <c r="I16" s="169"/>
      <c r="J16" s="170"/>
      <c r="K16" s="171"/>
      <c r="L16" s="172"/>
      <c r="M16" s="173"/>
      <c r="N16" s="174"/>
      <c r="O16" s="165"/>
      <c r="P16" s="174"/>
      <c r="Q16" s="174"/>
      <c r="R16" s="174"/>
      <c r="S16" s="174"/>
      <c r="T16" s="174"/>
    </row>
    <row r="17" spans="1:20" ht="15.75" customHeight="1">
      <c r="A17" s="164"/>
      <c r="B17" s="175"/>
      <c r="C17" s="175"/>
      <c r="D17" s="172"/>
      <c r="E17" s="175"/>
      <c r="F17" s="167"/>
      <c r="G17" s="168"/>
      <c r="H17" s="169"/>
      <c r="I17" s="169"/>
      <c r="J17" s="170"/>
      <c r="K17" s="171"/>
      <c r="L17" s="172"/>
      <c r="M17" s="173"/>
      <c r="N17" s="174"/>
      <c r="O17" s="165"/>
      <c r="P17" s="174"/>
      <c r="Q17" s="174"/>
      <c r="R17" s="174"/>
      <c r="S17" s="174"/>
      <c r="T17" s="174"/>
    </row>
    <row r="18" spans="1:20" ht="15.75" customHeight="1">
      <c r="A18" s="164"/>
      <c r="B18" s="175"/>
      <c r="C18" s="175"/>
      <c r="D18" s="172"/>
      <c r="E18" s="175"/>
      <c r="F18" s="167"/>
      <c r="G18" s="168"/>
      <c r="H18" s="169"/>
      <c r="I18" s="169"/>
      <c r="J18" s="170"/>
      <c r="K18" s="171"/>
      <c r="L18" s="172"/>
      <c r="M18" s="173"/>
      <c r="N18" s="174"/>
      <c r="O18" s="165"/>
      <c r="P18" s="174"/>
      <c r="Q18" s="174"/>
      <c r="R18" s="174"/>
      <c r="S18" s="174"/>
      <c r="T18" s="174"/>
    </row>
    <row r="19" spans="1:20" ht="15.75" customHeight="1">
      <c r="A19" s="164"/>
      <c r="B19" s="175"/>
      <c r="C19" s="175"/>
      <c r="D19" s="172"/>
      <c r="E19" s="175"/>
      <c r="F19" s="167"/>
      <c r="G19" s="168"/>
      <c r="H19" s="169"/>
      <c r="I19" s="169"/>
      <c r="J19" s="170"/>
      <c r="K19" s="171"/>
      <c r="L19" s="172"/>
      <c r="M19" s="173"/>
      <c r="N19" s="174"/>
      <c r="O19" s="165"/>
      <c r="P19" s="174"/>
      <c r="Q19" s="174"/>
      <c r="R19" s="174"/>
      <c r="S19" s="174"/>
      <c r="T19" s="174"/>
    </row>
    <row r="20" spans="1:20" ht="15.75" customHeight="1">
      <c r="A20" s="164"/>
      <c r="B20" s="175"/>
      <c r="C20" s="175"/>
      <c r="D20" s="172"/>
      <c r="E20" s="175"/>
      <c r="F20" s="167"/>
      <c r="G20" s="168"/>
      <c r="H20" s="169"/>
      <c r="I20" s="169"/>
      <c r="J20" s="170"/>
      <c r="K20" s="171"/>
      <c r="L20" s="172"/>
      <c r="M20" s="173"/>
      <c r="N20" s="174"/>
      <c r="O20" s="165"/>
      <c r="P20" s="174"/>
      <c r="Q20" s="174"/>
      <c r="R20" s="174"/>
      <c r="S20" s="174"/>
      <c r="T20" s="174"/>
    </row>
    <row r="21" spans="1:20" ht="15.75" customHeight="1">
      <c r="A21" s="164"/>
      <c r="B21" s="175"/>
      <c r="C21" s="175"/>
      <c r="D21" s="172"/>
      <c r="E21" s="175"/>
      <c r="F21" s="167"/>
      <c r="G21" s="168"/>
      <c r="H21" s="169"/>
      <c r="I21" s="169"/>
      <c r="J21" s="170"/>
      <c r="K21" s="171"/>
      <c r="L21" s="172"/>
      <c r="M21" s="173"/>
      <c r="N21" s="174"/>
      <c r="O21" s="165"/>
      <c r="P21" s="174"/>
      <c r="Q21" s="174"/>
      <c r="R21" s="174"/>
      <c r="S21" s="174"/>
      <c r="T21" s="174"/>
    </row>
    <row r="22" spans="1:20" ht="15.75" customHeight="1">
      <c r="A22" s="164"/>
      <c r="B22" s="175"/>
      <c r="C22" s="175"/>
      <c r="D22" s="172"/>
      <c r="E22" s="175"/>
      <c r="F22" s="167"/>
      <c r="G22" s="168"/>
      <c r="H22" s="169"/>
      <c r="I22" s="169"/>
      <c r="J22" s="170"/>
      <c r="K22" s="171"/>
      <c r="L22" s="172"/>
      <c r="M22" s="173"/>
      <c r="N22" s="174"/>
      <c r="O22" s="165"/>
      <c r="P22" s="174"/>
      <c r="Q22" s="174"/>
      <c r="R22" s="174"/>
      <c r="S22" s="174"/>
      <c r="T22" s="174"/>
    </row>
    <row r="23" spans="1:20" ht="15.75" customHeight="1">
      <c r="A23" s="164"/>
      <c r="B23" s="175"/>
      <c r="C23" s="175"/>
      <c r="D23" s="172"/>
      <c r="E23" s="175"/>
      <c r="F23" s="167"/>
      <c r="G23" s="168"/>
      <c r="H23" s="169"/>
      <c r="I23" s="169"/>
      <c r="J23" s="170"/>
      <c r="K23" s="171"/>
      <c r="L23" s="172"/>
      <c r="M23" s="173"/>
      <c r="N23" s="174"/>
      <c r="O23" s="165"/>
      <c r="P23" s="174"/>
      <c r="Q23" s="174"/>
      <c r="R23" s="174"/>
      <c r="S23" s="174"/>
      <c r="T23" s="174"/>
    </row>
    <row r="24" spans="1:20" ht="15.75" customHeight="1">
      <c r="A24" s="176"/>
      <c r="B24" s="153"/>
      <c r="C24" s="153"/>
      <c r="D24" s="177"/>
      <c r="E24" s="153"/>
      <c r="F24" s="178"/>
      <c r="G24" s="179"/>
      <c r="H24" s="180"/>
      <c r="I24" s="180"/>
      <c r="J24" s="181"/>
      <c r="K24" s="182"/>
      <c r="L24" s="177"/>
      <c r="M24" s="183"/>
      <c r="N24" s="184"/>
      <c r="O24" s="185"/>
      <c r="P24" s="184"/>
      <c r="Q24" s="184"/>
      <c r="R24" s="184"/>
      <c r="S24" s="184"/>
      <c r="T24" s="184"/>
    </row>
    <row r="25" spans="1:20" ht="15.75" customHeight="1">
      <c r="A25" s="176"/>
      <c r="B25" s="153"/>
      <c r="C25" s="153"/>
      <c r="D25" s="177"/>
      <c r="E25" s="153"/>
      <c r="F25" s="178"/>
      <c r="G25" s="179"/>
      <c r="H25" s="180"/>
      <c r="I25" s="180"/>
      <c r="J25" s="181"/>
      <c r="K25" s="182"/>
      <c r="L25" s="177"/>
      <c r="M25" s="183"/>
      <c r="N25" s="184"/>
      <c r="O25" s="185"/>
      <c r="P25" s="184"/>
      <c r="Q25" s="184"/>
      <c r="R25" s="184"/>
      <c r="S25" s="184"/>
      <c r="T25" s="184"/>
    </row>
    <row r="26" spans="1:20" ht="15.75" customHeight="1">
      <c r="A26" s="176"/>
      <c r="B26" s="153"/>
      <c r="C26" s="153"/>
      <c r="D26" s="177"/>
      <c r="E26" s="153"/>
      <c r="F26" s="178"/>
      <c r="G26" s="179"/>
      <c r="H26" s="180"/>
      <c r="I26" s="180"/>
      <c r="J26" s="181"/>
      <c r="K26" s="182"/>
      <c r="L26" s="177"/>
      <c r="M26" s="183"/>
      <c r="N26" s="184"/>
      <c r="O26" s="185"/>
      <c r="P26" s="184"/>
      <c r="Q26" s="184"/>
      <c r="R26" s="184"/>
      <c r="S26" s="184"/>
      <c r="T26" s="184"/>
    </row>
    <row r="27" spans="1:20" ht="15.75" customHeight="1">
      <c r="A27" s="176"/>
      <c r="B27" s="153"/>
      <c r="C27" s="153"/>
      <c r="D27" s="177"/>
      <c r="E27" s="153"/>
      <c r="F27" s="178"/>
      <c r="G27" s="179"/>
      <c r="H27" s="180"/>
      <c r="I27" s="180"/>
      <c r="J27" s="181"/>
      <c r="K27" s="182"/>
      <c r="L27" s="177"/>
      <c r="M27" s="183"/>
      <c r="N27" s="184"/>
      <c r="O27" s="185"/>
      <c r="P27" s="184"/>
      <c r="Q27" s="184"/>
      <c r="R27" s="184"/>
      <c r="S27" s="184"/>
      <c r="T27" s="184"/>
    </row>
    <row r="28" spans="1:20" ht="15.75" customHeight="1">
      <c r="A28" s="176"/>
      <c r="B28" s="153"/>
      <c r="C28" s="153"/>
      <c r="D28" s="177"/>
      <c r="E28" s="153"/>
      <c r="F28" s="178"/>
      <c r="G28" s="179"/>
      <c r="H28" s="180"/>
      <c r="I28" s="180"/>
      <c r="J28" s="181"/>
      <c r="K28" s="182"/>
      <c r="L28" s="177"/>
      <c r="M28" s="183"/>
      <c r="N28" s="184"/>
      <c r="O28" s="185"/>
      <c r="P28" s="184"/>
      <c r="Q28" s="184"/>
      <c r="R28" s="184"/>
      <c r="S28" s="184"/>
      <c r="T28" s="184"/>
    </row>
    <row r="29" spans="1:20" ht="15.75" customHeight="1">
      <c r="A29" s="176"/>
      <c r="B29" s="153"/>
      <c r="C29" s="153"/>
      <c r="D29" s="177"/>
      <c r="E29" s="153"/>
      <c r="F29" s="178"/>
      <c r="G29" s="179"/>
      <c r="H29" s="180"/>
      <c r="I29" s="180"/>
      <c r="J29" s="181"/>
      <c r="K29" s="182"/>
      <c r="L29" s="177"/>
      <c r="M29" s="183"/>
      <c r="N29" s="184"/>
      <c r="O29" s="185"/>
      <c r="P29" s="184"/>
      <c r="Q29" s="184"/>
      <c r="R29" s="184"/>
      <c r="S29" s="184"/>
      <c r="T29" s="184"/>
    </row>
    <row r="30" spans="1:20" ht="15.75" customHeight="1">
      <c r="A30" s="176"/>
      <c r="B30" s="153"/>
      <c r="C30" s="153"/>
      <c r="D30" s="177"/>
      <c r="E30" s="153"/>
      <c r="F30" s="178"/>
      <c r="G30" s="179"/>
      <c r="H30" s="180"/>
      <c r="I30" s="180"/>
      <c r="J30" s="181"/>
      <c r="K30" s="182"/>
      <c r="L30" s="177"/>
      <c r="M30" s="183"/>
      <c r="N30" s="184"/>
      <c r="O30" s="185"/>
      <c r="P30" s="184"/>
      <c r="Q30" s="184"/>
      <c r="R30" s="184"/>
      <c r="S30" s="184"/>
      <c r="T30" s="184"/>
    </row>
    <row r="31" spans="1:20" ht="12.75">
      <c r="A31" s="176"/>
      <c r="B31" s="153"/>
      <c r="C31" s="153"/>
      <c r="D31" s="177"/>
      <c r="E31" s="153"/>
      <c r="F31" s="178"/>
      <c r="G31" s="179"/>
      <c r="H31" s="180"/>
      <c r="I31" s="180"/>
      <c r="J31" s="181"/>
      <c r="K31" s="182"/>
      <c r="L31" s="177"/>
      <c r="M31" s="183"/>
      <c r="N31" s="184"/>
      <c r="O31" s="185"/>
      <c r="P31" s="184"/>
      <c r="Q31" s="184"/>
      <c r="R31" s="184"/>
      <c r="S31" s="184"/>
      <c r="T31" s="184"/>
    </row>
    <row r="32" spans="1:20" ht="12.75">
      <c r="A32" s="176"/>
      <c r="B32" s="153"/>
      <c r="C32" s="153"/>
      <c r="D32" s="177"/>
      <c r="E32" s="153"/>
      <c r="F32" s="178"/>
      <c r="G32" s="179"/>
      <c r="H32" s="180"/>
      <c r="I32" s="180"/>
      <c r="J32" s="181"/>
      <c r="K32" s="182"/>
      <c r="L32" s="177"/>
      <c r="M32" s="183"/>
      <c r="N32" s="184"/>
      <c r="O32" s="185"/>
      <c r="P32" s="184"/>
      <c r="Q32" s="184"/>
      <c r="R32" s="184"/>
      <c r="S32" s="184"/>
      <c r="T32" s="184"/>
    </row>
    <row r="33" spans="1:20" ht="12.75">
      <c r="A33" s="176"/>
      <c r="B33" s="153"/>
      <c r="C33" s="153"/>
      <c r="D33" s="177"/>
      <c r="E33" s="153"/>
      <c r="F33" s="178"/>
      <c r="G33" s="179"/>
      <c r="H33" s="180"/>
      <c r="I33" s="180"/>
      <c r="J33" s="181"/>
      <c r="K33" s="182"/>
      <c r="L33" s="177"/>
      <c r="M33" s="183"/>
      <c r="N33" s="184"/>
      <c r="O33" s="185"/>
      <c r="P33" s="184"/>
      <c r="Q33" s="184"/>
      <c r="R33" s="184"/>
      <c r="S33" s="184"/>
      <c r="T33" s="184"/>
    </row>
    <row r="34" spans="1:20" ht="12.75">
      <c r="A34" s="176"/>
      <c r="B34" s="153"/>
      <c r="C34" s="153"/>
      <c r="D34" s="177"/>
      <c r="E34" s="153"/>
      <c r="F34" s="178"/>
      <c r="G34" s="179"/>
      <c r="H34" s="180"/>
      <c r="I34" s="180"/>
      <c r="J34" s="181"/>
      <c r="K34" s="182"/>
      <c r="L34" s="177"/>
      <c r="M34" s="183"/>
      <c r="N34" s="184"/>
      <c r="O34" s="185"/>
      <c r="P34" s="184"/>
      <c r="Q34" s="184"/>
      <c r="R34" s="184"/>
      <c r="S34" s="184"/>
      <c r="T34" s="184"/>
    </row>
    <row r="35" spans="1:20" ht="12.75">
      <c r="A35" s="176"/>
      <c r="B35" s="153"/>
      <c r="C35" s="153"/>
      <c r="D35" s="177"/>
      <c r="E35" s="153"/>
      <c r="F35" s="178"/>
      <c r="G35" s="179"/>
      <c r="H35" s="180"/>
      <c r="I35" s="180"/>
      <c r="J35" s="181"/>
      <c r="K35" s="182"/>
      <c r="L35" s="177"/>
      <c r="M35" s="183"/>
      <c r="N35" s="184"/>
      <c r="O35" s="185"/>
      <c r="P35" s="184"/>
      <c r="Q35" s="184"/>
      <c r="R35" s="184"/>
      <c r="S35" s="184"/>
      <c r="T35" s="184"/>
    </row>
    <row r="36" spans="1:20" ht="12.75">
      <c r="A36" s="176"/>
      <c r="B36" s="153"/>
      <c r="C36" s="153"/>
      <c r="D36" s="177"/>
      <c r="E36" s="153"/>
      <c r="F36" s="178"/>
      <c r="G36" s="179"/>
      <c r="H36" s="180"/>
      <c r="I36" s="180"/>
      <c r="J36" s="181"/>
      <c r="K36" s="182"/>
      <c r="L36" s="177"/>
      <c r="M36" s="183"/>
      <c r="N36" s="184"/>
      <c r="O36" s="185"/>
      <c r="P36" s="184"/>
      <c r="Q36" s="184"/>
      <c r="R36" s="184"/>
      <c r="S36" s="184"/>
      <c r="T36" s="184"/>
    </row>
    <row r="37" spans="1:20" ht="12.75">
      <c r="A37" s="176"/>
      <c r="B37" s="153"/>
      <c r="C37" s="153"/>
      <c r="D37" s="177"/>
      <c r="E37" s="153"/>
      <c r="F37" s="178"/>
      <c r="G37" s="179"/>
      <c r="H37" s="180"/>
      <c r="I37" s="180"/>
      <c r="J37" s="181"/>
      <c r="K37" s="182"/>
      <c r="L37" s="177"/>
      <c r="M37" s="183"/>
      <c r="N37" s="184"/>
      <c r="O37" s="185"/>
      <c r="P37" s="184"/>
      <c r="Q37" s="184"/>
      <c r="R37" s="184"/>
      <c r="S37" s="184"/>
      <c r="T37" s="184"/>
    </row>
    <row r="38" spans="1:20" ht="12.75">
      <c r="A38" s="176"/>
      <c r="B38" s="153"/>
      <c r="C38" s="153"/>
      <c r="D38" s="177"/>
      <c r="E38" s="153"/>
      <c r="F38" s="178"/>
      <c r="G38" s="179"/>
      <c r="H38" s="180"/>
      <c r="I38" s="180"/>
      <c r="J38" s="181"/>
      <c r="K38" s="182"/>
      <c r="L38" s="177"/>
      <c r="M38" s="183"/>
      <c r="N38" s="184"/>
      <c r="O38" s="185"/>
      <c r="P38" s="184"/>
      <c r="Q38" s="184"/>
      <c r="R38" s="184"/>
      <c r="S38" s="184"/>
      <c r="T38" s="184"/>
    </row>
    <row r="39" spans="1:20" ht="12.75">
      <c r="A39" s="176"/>
      <c r="B39" s="153"/>
      <c r="C39" s="153"/>
      <c r="D39" s="177"/>
      <c r="E39" s="153"/>
      <c r="F39" s="178"/>
      <c r="G39" s="179"/>
      <c r="H39" s="180"/>
      <c r="I39" s="180"/>
      <c r="J39" s="181"/>
      <c r="K39" s="182"/>
      <c r="L39" s="177"/>
      <c r="M39" s="183"/>
      <c r="N39" s="184"/>
      <c r="O39" s="185"/>
      <c r="P39" s="184"/>
      <c r="Q39" s="184"/>
      <c r="R39" s="184"/>
      <c r="S39" s="184"/>
      <c r="T39" s="184"/>
    </row>
    <row r="40" spans="1:20" ht="12.75">
      <c r="A40" s="176"/>
      <c r="B40" s="153"/>
      <c r="C40" s="153"/>
      <c r="D40" s="177"/>
      <c r="E40" s="153"/>
      <c r="F40" s="178"/>
      <c r="G40" s="179"/>
      <c r="H40" s="180"/>
      <c r="I40" s="180"/>
      <c r="J40" s="181"/>
      <c r="K40" s="182"/>
      <c r="L40" s="177"/>
      <c r="M40" s="183"/>
      <c r="N40" s="184"/>
      <c r="O40" s="185"/>
      <c r="P40" s="184"/>
      <c r="Q40" s="184"/>
      <c r="R40" s="184"/>
      <c r="S40" s="184"/>
      <c r="T40" s="184"/>
    </row>
    <row r="41" spans="1:20" ht="12.75">
      <c r="A41" s="176"/>
      <c r="B41" s="153"/>
      <c r="C41" s="153"/>
      <c r="D41" s="177"/>
      <c r="E41" s="153"/>
      <c r="F41" s="178"/>
      <c r="G41" s="179"/>
      <c r="H41" s="180"/>
      <c r="I41" s="180"/>
      <c r="J41" s="181"/>
      <c r="K41" s="182"/>
      <c r="L41" s="177"/>
      <c r="M41" s="183"/>
      <c r="N41" s="184"/>
      <c r="O41" s="185"/>
      <c r="P41" s="184"/>
      <c r="Q41" s="184"/>
      <c r="R41" s="184"/>
      <c r="S41" s="184"/>
      <c r="T41" s="184"/>
    </row>
    <row r="42" spans="1:20" ht="12.75">
      <c r="A42" s="176"/>
      <c r="B42" s="153"/>
      <c r="C42" s="153"/>
      <c r="D42" s="177"/>
      <c r="E42" s="153"/>
      <c r="F42" s="178"/>
      <c r="G42" s="179"/>
      <c r="H42" s="180"/>
      <c r="I42" s="180"/>
      <c r="J42" s="181"/>
      <c r="K42" s="182"/>
      <c r="L42" s="177"/>
      <c r="M42" s="183"/>
      <c r="N42" s="184"/>
      <c r="O42" s="185"/>
      <c r="P42" s="184"/>
      <c r="Q42" s="184"/>
      <c r="R42" s="184"/>
      <c r="S42" s="184"/>
      <c r="T42" s="184"/>
    </row>
    <row r="43" spans="1:20" ht="12.75">
      <c r="A43" s="176"/>
      <c r="B43" s="153"/>
      <c r="C43" s="153"/>
      <c r="D43" s="177"/>
      <c r="E43" s="153"/>
      <c r="F43" s="178"/>
      <c r="G43" s="179"/>
      <c r="H43" s="180"/>
      <c r="I43" s="180"/>
      <c r="J43" s="181"/>
      <c r="K43" s="182"/>
      <c r="L43" s="177"/>
      <c r="M43" s="183"/>
      <c r="N43" s="184"/>
      <c r="O43" s="185"/>
      <c r="P43" s="184"/>
      <c r="Q43" s="184"/>
      <c r="R43" s="184"/>
      <c r="S43" s="184"/>
      <c r="T43" s="184"/>
    </row>
    <row r="44" spans="1:20" ht="12.75">
      <c r="A44" s="176"/>
      <c r="B44" s="153"/>
      <c r="C44" s="153"/>
      <c r="D44" s="177"/>
      <c r="E44" s="153"/>
      <c r="F44" s="178"/>
      <c r="G44" s="179"/>
      <c r="H44" s="180"/>
      <c r="I44" s="180"/>
      <c r="J44" s="181"/>
      <c r="K44" s="182"/>
      <c r="L44" s="177"/>
      <c r="M44" s="183"/>
      <c r="N44" s="184"/>
      <c r="O44" s="185"/>
      <c r="P44" s="184"/>
      <c r="Q44" s="184"/>
      <c r="R44" s="184"/>
      <c r="S44" s="184"/>
      <c r="T44" s="184"/>
    </row>
    <row r="45" spans="1:20" ht="12.75">
      <c r="A45" s="176"/>
      <c r="B45" s="153"/>
      <c r="C45" s="153"/>
      <c r="D45" s="177"/>
      <c r="E45" s="153"/>
      <c r="F45" s="178"/>
      <c r="G45" s="179"/>
      <c r="H45" s="180"/>
      <c r="I45" s="180"/>
      <c r="J45" s="181"/>
      <c r="K45" s="182"/>
      <c r="L45" s="177"/>
      <c r="M45" s="183"/>
      <c r="N45" s="184"/>
      <c r="O45" s="185"/>
      <c r="P45" s="184"/>
      <c r="Q45" s="184"/>
      <c r="R45" s="184"/>
      <c r="S45" s="184"/>
      <c r="T45" s="184"/>
    </row>
    <row r="46" spans="1:20" ht="12.75">
      <c r="A46" s="176"/>
      <c r="B46" s="153"/>
      <c r="C46" s="153"/>
      <c r="D46" s="177"/>
      <c r="E46" s="153"/>
      <c r="F46" s="178"/>
      <c r="G46" s="179"/>
      <c r="H46" s="180"/>
      <c r="I46" s="180"/>
      <c r="J46" s="181"/>
      <c r="K46" s="182"/>
      <c r="L46" s="177"/>
      <c r="M46" s="183"/>
      <c r="N46" s="184"/>
      <c r="O46" s="185"/>
      <c r="P46" s="184"/>
      <c r="Q46" s="184"/>
      <c r="R46" s="184"/>
      <c r="S46" s="184"/>
      <c r="T46" s="184"/>
    </row>
    <row r="47" spans="1:20" ht="12.75">
      <c r="A47" s="176"/>
      <c r="B47" s="153"/>
      <c r="C47" s="153"/>
      <c r="D47" s="177"/>
      <c r="E47" s="153"/>
      <c r="F47" s="178"/>
      <c r="G47" s="179"/>
      <c r="H47" s="180"/>
      <c r="I47" s="180"/>
      <c r="J47" s="181"/>
      <c r="K47" s="182"/>
      <c r="L47" s="177"/>
      <c r="M47" s="183"/>
      <c r="N47" s="184"/>
      <c r="O47" s="185"/>
      <c r="P47" s="184"/>
      <c r="Q47" s="184"/>
      <c r="R47" s="184"/>
      <c r="S47" s="184"/>
      <c r="T47" s="184"/>
    </row>
    <row r="48" spans="1:20" ht="12.75">
      <c r="A48" s="176"/>
      <c r="B48" s="153"/>
      <c r="C48" s="153"/>
      <c r="D48" s="177"/>
      <c r="E48" s="153"/>
      <c r="F48" s="178"/>
      <c r="G48" s="179"/>
      <c r="H48" s="180"/>
      <c r="I48" s="180"/>
      <c r="J48" s="181"/>
      <c r="K48" s="182"/>
      <c r="L48" s="177"/>
      <c r="M48" s="183"/>
      <c r="N48" s="184"/>
      <c r="O48" s="185"/>
      <c r="P48" s="184"/>
      <c r="Q48" s="184"/>
      <c r="R48" s="184"/>
      <c r="S48" s="184"/>
      <c r="T48" s="184"/>
    </row>
    <row r="49" spans="1:20" ht="12.75">
      <c r="A49" s="176"/>
      <c r="B49" s="153"/>
      <c r="C49" s="153"/>
      <c r="D49" s="177"/>
      <c r="E49" s="153"/>
      <c r="F49" s="178"/>
      <c r="G49" s="179"/>
      <c r="H49" s="180"/>
      <c r="I49" s="180"/>
      <c r="J49" s="181"/>
      <c r="K49" s="182"/>
      <c r="L49" s="177"/>
      <c r="M49" s="183"/>
      <c r="N49" s="184"/>
      <c r="O49" s="185"/>
      <c r="P49" s="184"/>
      <c r="Q49" s="184"/>
      <c r="R49" s="184"/>
      <c r="S49" s="184"/>
      <c r="T49" s="184"/>
    </row>
    <row r="50" spans="1:20" ht="12.75">
      <c r="A50" s="176"/>
      <c r="B50" s="153"/>
      <c r="C50" s="153"/>
      <c r="D50" s="177"/>
      <c r="E50" s="153"/>
      <c r="F50" s="178"/>
      <c r="G50" s="179"/>
      <c r="H50" s="180"/>
      <c r="I50" s="180"/>
      <c r="J50" s="181"/>
      <c r="K50" s="182"/>
      <c r="L50" s="177"/>
      <c r="M50" s="183"/>
      <c r="N50" s="184"/>
      <c r="O50" s="185"/>
      <c r="P50" s="184"/>
      <c r="Q50" s="184"/>
      <c r="R50" s="184"/>
      <c r="S50" s="184"/>
      <c r="T50" s="184"/>
    </row>
    <row r="51" spans="1:20" ht="12.75">
      <c r="A51" s="176"/>
      <c r="B51" s="153"/>
      <c r="C51" s="153"/>
      <c r="D51" s="177"/>
      <c r="E51" s="153"/>
      <c r="F51" s="178"/>
      <c r="G51" s="179"/>
      <c r="H51" s="180"/>
      <c r="I51" s="180"/>
      <c r="J51" s="181"/>
      <c r="K51" s="182"/>
      <c r="L51" s="177"/>
      <c r="M51" s="183"/>
      <c r="N51" s="184"/>
      <c r="O51" s="185"/>
      <c r="P51" s="184"/>
      <c r="Q51" s="184"/>
      <c r="R51" s="184"/>
      <c r="S51" s="184"/>
      <c r="T51" s="184"/>
    </row>
    <row r="52" spans="1:20" ht="12.75">
      <c r="A52" s="176"/>
      <c r="B52" s="153"/>
      <c r="C52" s="153"/>
      <c r="D52" s="177"/>
      <c r="E52" s="153"/>
      <c r="F52" s="178"/>
      <c r="G52" s="179"/>
      <c r="H52" s="180"/>
      <c r="I52" s="180"/>
      <c r="J52" s="181"/>
      <c r="K52" s="182"/>
      <c r="L52" s="177"/>
      <c r="M52" s="183"/>
      <c r="N52" s="184"/>
      <c r="O52" s="185"/>
      <c r="P52" s="184"/>
      <c r="Q52" s="184"/>
      <c r="R52" s="184"/>
      <c r="S52" s="184"/>
      <c r="T52" s="184"/>
    </row>
    <row r="53" spans="1:20" ht="12.75">
      <c r="A53" s="176"/>
      <c r="B53" s="153"/>
      <c r="C53" s="153"/>
      <c r="D53" s="177"/>
      <c r="E53" s="153"/>
      <c r="F53" s="178"/>
      <c r="G53" s="179"/>
      <c r="H53" s="180"/>
      <c r="I53" s="180"/>
      <c r="J53" s="181"/>
      <c r="K53" s="182"/>
      <c r="L53" s="177"/>
      <c r="M53" s="183"/>
      <c r="N53" s="184"/>
      <c r="O53" s="185"/>
      <c r="P53" s="184"/>
      <c r="Q53" s="184"/>
      <c r="R53" s="184"/>
      <c r="S53" s="184"/>
      <c r="T53" s="184"/>
    </row>
    <row r="54" spans="1:20" ht="12.75">
      <c r="A54" s="176"/>
      <c r="B54" s="153"/>
      <c r="C54" s="153"/>
      <c r="D54" s="177"/>
      <c r="E54" s="153"/>
      <c r="F54" s="178"/>
      <c r="G54" s="179"/>
      <c r="H54" s="180"/>
      <c r="I54" s="180"/>
      <c r="J54" s="181"/>
      <c r="K54" s="182"/>
      <c r="L54" s="177"/>
      <c r="M54" s="183"/>
      <c r="N54" s="184"/>
      <c r="O54" s="185"/>
      <c r="P54" s="184"/>
      <c r="Q54" s="184"/>
      <c r="R54" s="184"/>
      <c r="S54" s="184"/>
      <c r="T54" s="184"/>
    </row>
    <row r="55" spans="1:20" ht="12.75">
      <c r="A55" s="176"/>
      <c r="B55" s="153"/>
      <c r="C55" s="153"/>
      <c r="D55" s="177"/>
      <c r="E55" s="153"/>
      <c r="F55" s="178"/>
      <c r="G55" s="179"/>
      <c r="H55" s="180"/>
      <c r="I55" s="180"/>
      <c r="J55" s="181"/>
      <c r="K55" s="182"/>
      <c r="L55" s="177"/>
      <c r="M55" s="183"/>
      <c r="N55" s="184"/>
      <c r="O55" s="185"/>
      <c r="P55" s="184"/>
      <c r="Q55" s="184"/>
      <c r="R55" s="184"/>
      <c r="S55" s="184"/>
      <c r="T55" s="184"/>
    </row>
    <row r="56" spans="1:20" ht="12.75">
      <c r="A56" s="176"/>
      <c r="B56" s="153"/>
      <c r="C56" s="153"/>
      <c r="D56" s="177"/>
      <c r="E56" s="153"/>
      <c r="F56" s="178"/>
      <c r="G56" s="179"/>
      <c r="H56" s="180"/>
      <c r="I56" s="180"/>
      <c r="J56" s="181"/>
      <c r="K56" s="182"/>
      <c r="L56" s="177"/>
      <c r="M56" s="183"/>
      <c r="N56" s="184"/>
      <c r="O56" s="185"/>
      <c r="P56" s="184"/>
      <c r="Q56" s="184"/>
      <c r="R56" s="184"/>
      <c r="S56" s="184"/>
      <c r="T56" s="184"/>
    </row>
    <row r="57" spans="1:20" ht="12.75">
      <c r="A57" s="176"/>
      <c r="B57" s="153"/>
      <c r="C57" s="153"/>
      <c r="D57" s="177"/>
      <c r="E57" s="153"/>
      <c r="F57" s="178"/>
      <c r="G57" s="179"/>
      <c r="H57" s="180"/>
      <c r="I57" s="180"/>
      <c r="J57" s="181"/>
      <c r="K57" s="182"/>
      <c r="L57" s="177"/>
      <c r="M57" s="183"/>
      <c r="N57" s="184"/>
      <c r="O57" s="185"/>
      <c r="P57" s="184"/>
      <c r="Q57" s="184"/>
      <c r="R57" s="184"/>
      <c r="S57" s="184"/>
      <c r="T57" s="184"/>
    </row>
    <row r="58" spans="1:20" ht="12.75">
      <c r="A58" s="176"/>
      <c r="B58" s="153"/>
      <c r="C58" s="153"/>
      <c r="D58" s="177"/>
      <c r="E58" s="153"/>
      <c r="F58" s="178"/>
      <c r="G58" s="179"/>
      <c r="H58" s="180"/>
      <c r="I58" s="180"/>
      <c r="J58" s="181"/>
      <c r="K58" s="182"/>
      <c r="L58" s="177"/>
      <c r="M58" s="183"/>
      <c r="N58" s="184"/>
      <c r="O58" s="185"/>
      <c r="P58" s="184"/>
      <c r="Q58" s="184"/>
      <c r="R58" s="184"/>
      <c r="S58" s="184"/>
      <c r="T58" s="184"/>
    </row>
    <row r="59" spans="1:20" ht="12.75">
      <c r="A59" s="176"/>
      <c r="B59" s="153"/>
      <c r="C59" s="153"/>
      <c r="D59" s="177"/>
      <c r="E59" s="153"/>
      <c r="F59" s="178"/>
      <c r="G59" s="179"/>
      <c r="H59" s="180"/>
      <c r="I59" s="180"/>
      <c r="J59" s="181"/>
      <c r="K59" s="182"/>
      <c r="L59" s="177"/>
      <c r="M59" s="183"/>
      <c r="N59" s="184"/>
      <c r="O59" s="185"/>
      <c r="P59" s="184"/>
      <c r="Q59" s="184"/>
      <c r="R59" s="184"/>
      <c r="S59" s="184"/>
      <c r="T59" s="184"/>
    </row>
    <row r="60" spans="1:20" ht="12.75">
      <c r="A60" s="176"/>
      <c r="B60" s="153"/>
      <c r="C60" s="153"/>
      <c r="D60" s="177"/>
      <c r="E60" s="153"/>
      <c r="F60" s="178"/>
      <c r="G60" s="179"/>
      <c r="H60" s="180"/>
      <c r="I60" s="180"/>
      <c r="J60" s="181"/>
      <c r="K60" s="182"/>
      <c r="L60" s="177"/>
      <c r="M60" s="183"/>
      <c r="N60" s="184"/>
      <c r="O60" s="185"/>
      <c r="P60" s="184"/>
      <c r="Q60" s="184"/>
      <c r="R60" s="184"/>
      <c r="S60" s="184"/>
      <c r="T60" s="184"/>
    </row>
    <row r="61" spans="1:20" ht="12.75">
      <c r="A61" s="176"/>
      <c r="B61" s="153"/>
      <c r="C61" s="153"/>
      <c r="D61" s="177"/>
      <c r="E61" s="153"/>
      <c r="F61" s="178"/>
      <c r="G61" s="179"/>
      <c r="H61" s="180"/>
      <c r="I61" s="180"/>
      <c r="J61" s="181"/>
      <c r="K61" s="182"/>
      <c r="L61" s="177"/>
      <c r="M61" s="183"/>
      <c r="N61" s="184"/>
      <c r="O61" s="185"/>
      <c r="P61" s="184"/>
      <c r="Q61" s="184"/>
      <c r="R61" s="184"/>
      <c r="S61" s="184"/>
      <c r="T61" s="184"/>
    </row>
    <row r="62" spans="1:20" ht="12.75">
      <c r="A62" s="176"/>
      <c r="B62" s="153"/>
      <c r="C62" s="153"/>
      <c r="D62" s="177"/>
      <c r="E62" s="153"/>
      <c r="F62" s="178"/>
      <c r="G62" s="179"/>
      <c r="H62" s="180"/>
      <c r="I62" s="180"/>
      <c r="J62" s="181"/>
      <c r="K62" s="182"/>
      <c r="L62" s="177"/>
      <c r="M62" s="183"/>
      <c r="N62" s="184"/>
      <c r="O62" s="185"/>
      <c r="P62" s="184"/>
      <c r="Q62" s="184"/>
      <c r="R62" s="184"/>
      <c r="S62" s="184"/>
      <c r="T62" s="184"/>
    </row>
    <row r="63" spans="1:20" ht="12.75">
      <c r="A63" s="176"/>
      <c r="B63" s="153"/>
      <c r="C63" s="153"/>
      <c r="D63" s="177"/>
      <c r="E63" s="153"/>
      <c r="F63" s="178"/>
      <c r="G63" s="179"/>
      <c r="H63" s="180"/>
      <c r="I63" s="180"/>
      <c r="J63" s="181"/>
      <c r="K63" s="182"/>
      <c r="L63" s="177"/>
      <c r="M63" s="183"/>
      <c r="N63" s="184"/>
      <c r="O63" s="185"/>
      <c r="P63" s="184"/>
      <c r="Q63" s="184"/>
      <c r="R63" s="184"/>
      <c r="S63" s="184"/>
      <c r="T63" s="184"/>
    </row>
    <row r="64" spans="1:20" ht="12.75">
      <c r="A64" s="176"/>
      <c r="B64" s="153"/>
      <c r="C64" s="153"/>
      <c r="D64" s="177"/>
      <c r="E64" s="153"/>
      <c r="F64" s="178"/>
      <c r="G64" s="179"/>
      <c r="H64" s="180"/>
      <c r="I64" s="180"/>
      <c r="J64" s="181"/>
      <c r="K64" s="182"/>
      <c r="L64" s="177"/>
      <c r="M64" s="183"/>
      <c r="N64" s="184"/>
      <c r="O64" s="185"/>
      <c r="P64" s="184"/>
      <c r="Q64" s="184"/>
      <c r="R64" s="184"/>
      <c r="S64" s="184"/>
      <c r="T64" s="184"/>
    </row>
    <row r="65" spans="1:20" ht="12.75">
      <c r="A65" s="176"/>
      <c r="B65" s="153"/>
      <c r="C65" s="153"/>
      <c r="D65" s="177"/>
      <c r="E65" s="153"/>
      <c r="F65" s="178"/>
      <c r="G65" s="179"/>
      <c r="H65" s="180"/>
      <c r="I65" s="180"/>
      <c r="J65" s="181"/>
      <c r="K65" s="182"/>
      <c r="L65" s="177"/>
      <c r="M65" s="183"/>
      <c r="N65" s="184"/>
      <c r="O65" s="185"/>
      <c r="P65" s="184"/>
      <c r="Q65" s="184"/>
      <c r="R65" s="184"/>
      <c r="S65" s="184"/>
      <c r="T65" s="184"/>
    </row>
    <row r="66" spans="1:20" ht="12.75">
      <c r="A66" s="176"/>
      <c r="B66" s="153"/>
      <c r="C66" s="153"/>
      <c r="D66" s="177"/>
      <c r="E66" s="153"/>
      <c r="F66" s="178"/>
      <c r="G66" s="179"/>
      <c r="H66" s="180"/>
      <c r="I66" s="180"/>
      <c r="J66" s="181"/>
      <c r="K66" s="182"/>
      <c r="L66" s="177"/>
      <c r="M66" s="183"/>
      <c r="N66" s="184"/>
      <c r="O66" s="185"/>
      <c r="P66" s="184"/>
      <c r="Q66" s="184"/>
      <c r="R66" s="184"/>
      <c r="S66" s="184"/>
      <c r="T66" s="184"/>
    </row>
    <row r="67" spans="1:20" ht="12.75">
      <c r="A67" s="176"/>
      <c r="B67" s="153"/>
      <c r="C67" s="153"/>
      <c r="D67" s="177"/>
      <c r="E67" s="153"/>
      <c r="F67" s="178"/>
      <c r="G67" s="179"/>
      <c r="H67" s="180"/>
      <c r="I67" s="180"/>
      <c r="J67" s="181"/>
      <c r="K67" s="182"/>
      <c r="L67" s="177"/>
      <c r="M67" s="183"/>
      <c r="N67" s="184"/>
      <c r="O67" s="185"/>
      <c r="P67" s="184"/>
      <c r="Q67" s="184"/>
      <c r="R67" s="184"/>
      <c r="S67" s="184"/>
      <c r="T67" s="184"/>
    </row>
    <row r="68" spans="1:20" ht="12.75">
      <c r="A68" s="176"/>
      <c r="B68" s="153"/>
      <c r="C68" s="153"/>
      <c r="D68" s="177"/>
      <c r="E68" s="153"/>
      <c r="F68" s="178"/>
      <c r="G68" s="179"/>
      <c r="H68" s="180"/>
      <c r="I68" s="180"/>
      <c r="J68" s="181"/>
      <c r="K68" s="182"/>
      <c r="L68" s="177"/>
      <c r="M68" s="183"/>
      <c r="N68" s="184"/>
      <c r="O68" s="185"/>
      <c r="P68" s="184"/>
      <c r="Q68" s="184"/>
      <c r="R68" s="184"/>
      <c r="S68" s="184"/>
      <c r="T68" s="184"/>
    </row>
    <row r="69" spans="1:20" ht="12.75">
      <c r="A69" s="176"/>
      <c r="B69" s="153"/>
      <c r="C69" s="153"/>
      <c r="D69" s="177"/>
      <c r="E69" s="153"/>
      <c r="F69" s="178"/>
      <c r="G69" s="179"/>
      <c r="H69" s="180"/>
      <c r="I69" s="180"/>
      <c r="J69" s="181"/>
      <c r="K69" s="182"/>
      <c r="L69" s="177"/>
      <c r="M69" s="183"/>
      <c r="N69" s="184"/>
      <c r="O69" s="185"/>
      <c r="P69" s="184"/>
      <c r="Q69" s="184"/>
      <c r="R69" s="184"/>
      <c r="S69" s="184"/>
      <c r="T69" s="184"/>
    </row>
    <row r="70" spans="1:20" ht="12.75">
      <c r="A70" s="176"/>
      <c r="B70" s="153"/>
      <c r="C70" s="153"/>
      <c r="D70" s="177"/>
      <c r="E70" s="153"/>
      <c r="F70" s="178"/>
      <c r="G70" s="179"/>
      <c r="H70" s="180"/>
      <c r="I70" s="180"/>
      <c r="J70" s="181"/>
      <c r="K70" s="182"/>
      <c r="L70" s="177"/>
      <c r="M70" s="183"/>
      <c r="N70" s="184"/>
      <c r="O70" s="185"/>
      <c r="P70" s="184"/>
      <c r="Q70" s="184"/>
      <c r="R70" s="184"/>
      <c r="S70" s="184"/>
      <c r="T70" s="184"/>
    </row>
    <row r="71" spans="1:20" ht="12.75">
      <c r="A71" s="176"/>
      <c r="B71" s="153"/>
      <c r="C71" s="153"/>
      <c r="D71" s="177"/>
      <c r="E71" s="153"/>
      <c r="F71" s="178"/>
      <c r="G71" s="179"/>
      <c r="H71" s="180"/>
      <c r="I71" s="180"/>
      <c r="J71" s="181"/>
      <c r="K71" s="182"/>
      <c r="L71" s="177"/>
      <c r="M71" s="183"/>
      <c r="N71" s="184"/>
      <c r="O71" s="185"/>
      <c r="P71" s="184"/>
      <c r="Q71" s="184"/>
      <c r="R71" s="184"/>
      <c r="S71" s="184"/>
      <c r="T71" s="184"/>
    </row>
    <row r="72" spans="1:20" ht="12.75">
      <c r="A72" s="176"/>
      <c r="B72" s="153"/>
      <c r="C72" s="153"/>
      <c r="D72" s="177"/>
      <c r="E72" s="153"/>
      <c r="F72" s="178"/>
      <c r="G72" s="179"/>
      <c r="H72" s="180"/>
      <c r="I72" s="180"/>
      <c r="J72" s="181"/>
      <c r="K72" s="182"/>
      <c r="L72" s="177"/>
      <c r="M72" s="183"/>
      <c r="N72" s="184"/>
      <c r="O72" s="185"/>
      <c r="P72" s="184"/>
      <c r="Q72" s="184"/>
      <c r="R72" s="184"/>
      <c r="S72" s="184"/>
      <c r="T72" s="184"/>
    </row>
    <row r="73" spans="1:20" ht="12.75">
      <c r="A73" s="176"/>
      <c r="B73" s="153"/>
      <c r="C73" s="153"/>
      <c r="D73" s="177"/>
      <c r="E73" s="153"/>
      <c r="F73" s="178"/>
      <c r="G73" s="179"/>
      <c r="H73" s="180"/>
      <c r="I73" s="180"/>
      <c r="J73" s="181"/>
      <c r="K73" s="182"/>
      <c r="L73" s="177"/>
      <c r="M73" s="183"/>
      <c r="N73" s="184"/>
      <c r="O73" s="185"/>
      <c r="P73" s="184"/>
      <c r="Q73" s="184"/>
      <c r="R73" s="184"/>
      <c r="S73" s="184"/>
      <c r="T73" s="184"/>
    </row>
    <row r="74" spans="1:20" ht="12.75">
      <c r="A74" s="176"/>
      <c r="B74" s="153"/>
      <c r="C74" s="153"/>
      <c r="D74" s="177"/>
      <c r="E74" s="153"/>
      <c r="F74" s="178"/>
      <c r="G74" s="179"/>
      <c r="H74" s="180"/>
      <c r="I74" s="180"/>
      <c r="J74" s="181"/>
      <c r="K74" s="182"/>
      <c r="L74" s="177"/>
      <c r="M74" s="183"/>
      <c r="N74" s="184"/>
      <c r="O74" s="185"/>
      <c r="P74" s="184"/>
      <c r="Q74" s="184"/>
      <c r="R74" s="184"/>
      <c r="S74" s="184"/>
      <c r="T74" s="184"/>
    </row>
    <row r="75" spans="1:20" ht="12.75">
      <c r="A75" s="176"/>
      <c r="B75" s="153"/>
      <c r="C75" s="153"/>
      <c r="D75" s="177"/>
      <c r="E75" s="153"/>
      <c r="F75" s="178"/>
      <c r="G75" s="179"/>
      <c r="H75" s="180"/>
      <c r="I75" s="180"/>
      <c r="J75" s="181"/>
      <c r="K75" s="182"/>
      <c r="L75" s="177"/>
      <c r="M75" s="183"/>
      <c r="N75" s="184"/>
      <c r="O75" s="185"/>
      <c r="P75" s="184"/>
      <c r="Q75" s="184"/>
      <c r="R75" s="184"/>
      <c r="S75" s="184"/>
      <c r="T75" s="184"/>
    </row>
    <row r="76" spans="1:20" ht="12.75">
      <c r="A76" s="176"/>
      <c r="B76" s="153"/>
      <c r="C76" s="153"/>
      <c r="D76" s="177"/>
      <c r="E76" s="153"/>
      <c r="F76" s="178"/>
      <c r="G76" s="179"/>
      <c r="H76" s="180"/>
      <c r="I76" s="180"/>
      <c r="J76" s="181"/>
      <c r="K76" s="182"/>
      <c r="L76" s="177"/>
      <c r="M76" s="183"/>
      <c r="N76" s="184"/>
      <c r="O76" s="185"/>
      <c r="P76" s="184"/>
      <c r="Q76" s="184"/>
      <c r="R76" s="184"/>
      <c r="S76" s="184"/>
      <c r="T76" s="184"/>
    </row>
    <row r="77" spans="1:20" ht="12.75">
      <c r="A77" s="176"/>
      <c r="B77" s="153"/>
      <c r="C77" s="153"/>
      <c r="D77" s="177"/>
      <c r="E77" s="153"/>
      <c r="F77" s="178"/>
      <c r="G77" s="179"/>
      <c r="H77" s="180"/>
      <c r="I77" s="180"/>
      <c r="J77" s="181"/>
      <c r="K77" s="182"/>
      <c r="L77" s="177"/>
      <c r="M77" s="183"/>
      <c r="N77" s="184"/>
      <c r="O77" s="185"/>
      <c r="P77" s="184"/>
      <c r="Q77" s="184"/>
      <c r="R77" s="184"/>
      <c r="S77" s="184"/>
      <c r="T77" s="184"/>
    </row>
    <row r="78" spans="1:20" ht="12.75">
      <c r="A78" s="176"/>
      <c r="B78" s="153"/>
      <c r="C78" s="153"/>
      <c r="D78" s="177"/>
      <c r="E78" s="153"/>
      <c r="F78" s="178"/>
      <c r="G78" s="179"/>
      <c r="H78" s="180"/>
      <c r="I78" s="180"/>
      <c r="J78" s="181"/>
      <c r="K78" s="182"/>
      <c r="L78" s="177"/>
      <c r="M78" s="183"/>
      <c r="N78" s="184"/>
      <c r="O78" s="185"/>
      <c r="P78" s="184"/>
      <c r="Q78" s="184"/>
      <c r="R78" s="184"/>
      <c r="S78" s="184"/>
      <c r="T78" s="184"/>
    </row>
    <row r="79" spans="1:20" ht="12.75">
      <c r="A79" s="176"/>
      <c r="B79" s="153"/>
      <c r="C79" s="153"/>
      <c r="D79" s="177"/>
      <c r="E79" s="153"/>
      <c r="F79" s="178"/>
      <c r="G79" s="179"/>
      <c r="H79" s="180"/>
      <c r="I79" s="180"/>
      <c r="J79" s="181"/>
      <c r="K79" s="182"/>
      <c r="L79" s="177"/>
      <c r="M79" s="183"/>
      <c r="N79" s="184"/>
      <c r="O79" s="185"/>
      <c r="P79" s="184"/>
      <c r="Q79" s="184"/>
      <c r="R79" s="184"/>
      <c r="S79" s="184"/>
      <c r="T79" s="184"/>
    </row>
    <row r="80" spans="1:20" ht="12.75">
      <c r="A80" s="176"/>
      <c r="B80" s="153"/>
      <c r="C80" s="153"/>
      <c r="D80" s="177"/>
      <c r="E80" s="153"/>
      <c r="F80" s="178"/>
      <c r="G80" s="179"/>
      <c r="H80" s="180"/>
      <c r="I80" s="180"/>
      <c r="J80" s="181"/>
      <c r="K80" s="182"/>
      <c r="L80" s="177"/>
      <c r="M80" s="183"/>
      <c r="N80" s="184"/>
      <c r="O80" s="185"/>
      <c r="P80" s="184"/>
      <c r="Q80" s="184"/>
      <c r="R80" s="184"/>
      <c r="S80" s="184"/>
      <c r="T80" s="184"/>
    </row>
    <row r="81" spans="1:20" ht="12.75">
      <c r="A81" s="176"/>
      <c r="B81" s="153"/>
      <c r="C81" s="153"/>
      <c r="D81" s="177"/>
      <c r="E81" s="153"/>
      <c r="F81" s="178"/>
      <c r="G81" s="179"/>
      <c r="H81" s="180"/>
      <c r="I81" s="180"/>
      <c r="J81" s="181"/>
      <c r="K81" s="182"/>
      <c r="L81" s="177"/>
      <c r="M81" s="183"/>
      <c r="N81" s="184"/>
      <c r="O81" s="185"/>
      <c r="P81" s="184"/>
      <c r="Q81" s="184"/>
      <c r="R81" s="184"/>
      <c r="S81" s="184"/>
      <c r="T81" s="184"/>
    </row>
    <row r="82" spans="1:20" ht="12.75">
      <c r="A82" s="176"/>
      <c r="B82" s="153"/>
      <c r="C82" s="153"/>
      <c r="D82" s="177"/>
      <c r="E82" s="153"/>
      <c r="F82" s="178"/>
      <c r="G82" s="179"/>
      <c r="H82" s="180"/>
      <c r="I82" s="180"/>
      <c r="J82" s="181"/>
      <c r="K82" s="182"/>
      <c r="L82" s="177"/>
      <c r="M82" s="183"/>
      <c r="N82" s="184"/>
      <c r="O82" s="185"/>
      <c r="P82" s="184"/>
      <c r="Q82" s="184"/>
      <c r="R82" s="184"/>
      <c r="S82" s="184"/>
      <c r="T82" s="184"/>
    </row>
    <row r="83" spans="1:20" ht="12.75">
      <c r="A83" s="176"/>
      <c r="B83" s="153"/>
      <c r="C83" s="153"/>
      <c r="D83" s="177"/>
      <c r="E83" s="153"/>
      <c r="F83" s="178"/>
      <c r="G83" s="179"/>
      <c r="H83" s="180"/>
      <c r="I83" s="180"/>
      <c r="J83" s="181"/>
      <c r="K83" s="182"/>
      <c r="L83" s="177"/>
      <c r="M83" s="183"/>
      <c r="N83" s="184"/>
      <c r="O83" s="185"/>
      <c r="P83" s="184"/>
      <c r="Q83" s="184"/>
      <c r="R83" s="184"/>
      <c r="S83" s="184"/>
      <c r="T83" s="184"/>
    </row>
    <row r="84" spans="1:20" ht="12.75">
      <c r="A84" s="176"/>
      <c r="B84" s="153"/>
      <c r="C84" s="153"/>
      <c r="D84" s="177"/>
      <c r="E84" s="153"/>
      <c r="F84" s="178"/>
      <c r="G84" s="179"/>
      <c r="H84" s="180"/>
      <c r="I84" s="180"/>
      <c r="J84" s="181"/>
      <c r="K84" s="182"/>
      <c r="L84" s="177"/>
      <c r="M84" s="183"/>
      <c r="N84" s="184"/>
      <c r="O84" s="185"/>
      <c r="P84" s="184"/>
      <c r="Q84" s="184"/>
      <c r="R84" s="184"/>
      <c r="S84" s="184"/>
      <c r="T84" s="184"/>
    </row>
    <row r="85" spans="1:20" ht="12.75">
      <c r="A85" s="176"/>
      <c r="B85" s="153"/>
      <c r="C85" s="153"/>
      <c r="D85" s="177"/>
      <c r="E85" s="153"/>
      <c r="F85" s="178"/>
      <c r="G85" s="179"/>
      <c r="H85" s="180"/>
      <c r="I85" s="180"/>
      <c r="J85" s="181"/>
      <c r="K85" s="182"/>
      <c r="L85" s="177"/>
      <c r="M85" s="183"/>
      <c r="N85" s="184"/>
      <c r="O85" s="185"/>
      <c r="P85" s="184"/>
      <c r="Q85" s="184"/>
      <c r="R85" s="184"/>
      <c r="S85" s="184"/>
      <c r="T85" s="184"/>
    </row>
    <row r="86" spans="1:20" ht="12.75">
      <c r="A86" s="176"/>
      <c r="B86" s="153"/>
      <c r="C86" s="153"/>
      <c r="D86" s="177"/>
      <c r="E86" s="153"/>
      <c r="F86" s="178"/>
      <c r="G86" s="179"/>
      <c r="H86" s="180"/>
      <c r="I86" s="180"/>
      <c r="J86" s="181"/>
      <c r="K86" s="182"/>
      <c r="L86" s="177"/>
      <c r="M86" s="183"/>
      <c r="N86" s="184"/>
      <c r="O86" s="185"/>
      <c r="P86" s="184"/>
      <c r="Q86" s="184"/>
      <c r="R86" s="184"/>
      <c r="S86" s="184"/>
      <c r="T86" s="184"/>
    </row>
    <row r="87" spans="1:20" ht="12.75">
      <c r="A87" s="176"/>
      <c r="B87" s="153"/>
      <c r="C87" s="153"/>
      <c r="D87" s="177"/>
      <c r="E87" s="153"/>
      <c r="F87" s="178"/>
      <c r="G87" s="179"/>
      <c r="H87" s="180"/>
      <c r="I87" s="180"/>
      <c r="J87" s="181"/>
      <c r="K87" s="182"/>
      <c r="L87" s="177"/>
      <c r="M87" s="183"/>
      <c r="N87" s="184"/>
      <c r="O87" s="185"/>
      <c r="P87" s="184"/>
      <c r="Q87" s="184"/>
      <c r="R87" s="184"/>
      <c r="S87" s="184"/>
      <c r="T87" s="184"/>
    </row>
    <row r="88" spans="1:20" ht="12.75">
      <c r="A88" s="176"/>
      <c r="B88" s="153"/>
      <c r="C88" s="153"/>
      <c r="D88" s="177"/>
      <c r="E88" s="153"/>
      <c r="F88" s="178"/>
      <c r="G88" s="179"/>
      <c r="H88" s="180"/>
      <c r="I88" s="180"/>
      <c r="J88" s="181"/>
      <c r="K88" s="182"/>
      <c r="L88" s="177"/>
      <c r="M88" s="183"/>
      <c r="N88" s="184"/>
      <c r="O88" s="185"/>
      <c r="P88" s="184"/>
      <c r="Q88" s="184"/>
      <c r="R88" s="184"/>
      <c r="S88" s="184"/>
      <c r="T88" s="184"/>
    </row>
    <row r="89" spans="1:20" ht="12.75">
      <c r="A89" s="176"/>
      <c r="B89" s="153"/>
      <c r="C89" s="153"/>
      <c r="D89" s="177"/>
      <c r="E89" s="153"/>
      <c r="F89" s="178"/>
      <c r="G89" s="179"/>
      <c r="H89" s="180"/>
      <c r="I89" s="180"/>
      <c r="J89" s="181"/>
      <c r="K89" s="182"/>
      <c r="L89" s="177"/>
      <c r="M89" s="183"/>
      <c r="N89" s="184"/>
      <c r="O89" s="185"/>
      <c r="P89" s="184"/>
      <c r="Q89" s="184"/>
      <c r="R89" s="184"/>
      <c r="S89" s="184"/>
      <c r="T89" s="184"/>
    </row>
    <row r="90" spans="1:20" ht="12.75">
      <c r="A90" s="176"/>
      <c r="B90" s="153"/>
      <c r="C90" s="153"/>
      <c r="D90" s="177"/>
      <c r="E90" s="153"/>
      <c r="F90" s="178"/>
      <c r="G90" s="179"/>
      <c r="H90" s="180"/>
      <c r="I90" s="180"/>
      <c r="J90" s="181"/>
      <c r="K90" s="182"/>
      <c r="L90" s="177"/>
      <c r="M90" s="183"/>
      <c r="N90" s="184"/>
      <c r="O90" s="185"/>
      <c r="P90" s="184"/>
      <c r="Q90" s="184"/>
      <c r="R90" s="184"/>
      <c r="S90" s="184"/>
      <c r="T90" s="184"/>
    </row>
    <row r="91" spans="1:20" ht="12.75">
      <c r="A91" s="176"/>
      <c r="B91" s="153"/>
      <c r="C91" s="153"/>
      <c r="D91" s="177"/>
      <c r="E91" s="153"/>
      <c r="F91" s="178"/>
      <c r="G91" s="179"/>
      <c r="H91" s="180"/>
      <c r="I91" s="180"/>
      <c r="J91" s="181"/>
      <c r="K91" s="182"/>
      <c r="L91" s="177"/>
      <c r="M91" s="183"/>
      <c r="N91" s="184"/>
      <c r="O91" s="185"/>
      <c r="P91" s="184"/>
      <c r="Q91" s="184"/>
      <c r="R91" s="184"/>
      <c r="S91" s="184"/>
      <c r="T91" s="184"/>
    </row>
    <row r="92" spans="1:20" ht="12.75">
      <c r="A92" s="176"/>
      <c r="B92" s="153"/>
      <c r="C92" s="153"/>
      <c r="D92" s="177"/>
      <c r="E92" s="153"/>
      <c r="F92" s="178"/>
      <c r="G92" s="179"/>
      <c r="H92" s="180"/>
      <c r="I92" s="180"/>
      <c r="J92" s="181"/>
      <c r="K92" s="182"/>
      <c r="L92" s="177"/>
      <c r="M92" s="183"/>
      <c r="N92" s="184"/>
      <c r="O92" s="185"/>
      <c r="P92" s="184"/>
      <c r="Q92" s="184"/>
      <c r="R92" s="184"/>
      <c r="S92" s="184"/>
      <c r="T92" s="184"/>
    </row>
    <row r="93" spans="1:20" ht="12.75">
      <c r="A93" s="176"/>
      <c r="B93" s="153"/>
      <c r="C93" s="153"/>
      <c r="D93" s="177"/>
      <c r="E93" s="153"/>
      <c r="F93" s="178"/>
      <c r="G93" s="179"/>
      <c r="H93" s="180"/>
      <c r="I93" s="180"/>
      <c r="J93" s="181"/>
      <c r="K93" s="182"/>
      <c r="L93" s="177"/>
      <c r="M93" s="183"/>
      <c r="N93" s="184"/>
      <c r="O93" s="185"/>
      <c r="P93" s="184"/>
      <c r="Q93" s="184"/>
      <c r="R93" s="184"/>
      <c r="S93" s="184"/>
      <c r="T93" s="184"/>
    </row>
    <row r="94" spans="1:20" ht="12.75">
      <c r="A94" s="176"/>
      <c r="B94" s="153"/>
      <c r="C94" s="153"/>
      <c r="D94" s="177"/>
      <c r="E94" s="153"/>
      <c r="F94" s="178"/>
      <c r="G94" s="179"/>
      <c r="H94" s="180"/>
      <c r="I94" s="180"/>
      <c r="J94" s="181"/>
      <c r="K94" s="182"/>
      <c r="L94" s="177"/>
      <c r="M94" s="183"/>
      <c r="N94" s="184"/>
      <c r="O94" s="185"/>
      <c r="P94" s="184"/>
      <c r="Q94" s="184"/>
      <c r="R94" s="184"/>
      <c r="S94" s="184"/>
      <c r="T94" s="184"/>
    </row>
    <row r="95" spans="1:20" ht="12.75">
      <c r="A95" s="176"/>
      <c r="B95" s="153"/>
      <c r="C95" s="153"/>
      <c r="D95" s="177"/>
      <c r="E95" s="153"/>
      <c r="F95" s="178"/>
      <c r="G95" s="179"/>
      <c r="H95" s="180"/>
      <c r="I95" s="180"/>
      <c r="J95" s="181"/>
      <c r="K95" s="182"/>
      <c r="L95" s="177"/>
      <c r="M95" s="183"/>
      <c r="N95" s="184"/>
      <c r="O95" s="185"/>
      <c r="P95" s="184"/>
      <c r="Q95" s="184"/>
      <c r="R95" s="184"/>
      <c r="S95" s="184"/>
      <c r="T95" s="184"/>
    </row>
    <row r="96" spans="1:20" ht="12.75">
      <c r="A96" s="176"/>
      <c r="B96" s="153"/>
      <c r="C96" s="153"/>
      <c r="D96" s="177"/>
      <c r="E96" s="153"/>
      <c r="F96" s="178"/>
      <c r="G96" s="179"/>
      <c r="H96" s="180"/>
      <c r="I96" s="180"/>
      <c r="J96" s="181"/>
      <c r="K96" s="182"/>
      <c r="L96" s="177"/>
      <c r="M96" s="183"/>
      <c r="N96" s="184"/>
      <c r="O96" s="185"/>
      <c r="P96" s="184"/>
      <c r="Q96" s="184"/>
      <c r="R96" s="184"/>
      <c r="S96" s="184"/>
      <c r="T96" s="184"/>
    </row>
    <row r="97" spans="1:20" ht="12.75">
      <c r="A97" s="176"/>
      <c r="B97" s="153"/>
      <c r="C97" s="153"/>
      <c r="D97" s="177"/>
      <c r="E97" s="153"/>
      <c r="F97" s="178"/>
      <c r="G97" s="179"/>
      <c r="H97" s="180"/>
      <c r="I97" s="180"/>
      <c r="J97" s="181"/>
      <c r="K97" s="182"/>
      <c r="L97" s="177"/>
      <c r="M97" s="183"/>
      <c r="N97" s="184"/>
      <c r="O97" s="185"/>
      <c r="P97" s="184"/>
      <c r="Q97" s="184"/>
      <c r="R97" s="184"/>
      <c r="S97" s="184"/>
      <c r="T97" s="184"/>
    </row>
    <row r="98" spans="1:20" ht="12.75">
      <c r="A98" s="176"/>
      <c r="B98" s="153"/>
      <c r="C98" s="153"/>
      <c r="D98" s="177"/>
      <c r="E98" s="153"/>
      <c r="F98" s="178"/>
      <c r="G98" s="179"/>
      <c r="H98" s="180"/>
      <c r="I98" s="180"/>
      <c r="J98" s="181"/>
      <c r="K98" s="182"/>
      <c r="L98" s="177"/>
      <c r="M98" s="183"/>
      <c r="N98" s="184"/>
      <c r="O98" s="185"/>
      <c r="P98" s="184"/>
      <c r="Q98" s="184"/>
      <c r="R98" s="184"/>
      <c r="S98" s="184"/>
      <c r="T98" s="184"/>
    </row>
    <row r="99" spans="1:20" ht="12.75">
      <c r="A99" s="176"/>
      <c r="B99" s="153"/>
      <c r="C99" s="153"/>
      <c r="D99" s="177"/>
      <c r="E99" s="153"/>
      <c r="F99" s="178"/>
      <c r="G99" s="179"/>
      <c r="H99" s="180"/>
      <c r="I99" s="180"/>
      <c r="J99" s="181"/>
      <c r="K99" s="182"/>
      <c r="L99" s="177"/>
      <c r="M99" s="183"/>
      <c r="N99" s="184"/>
      <c r="O99" s="185"/>
      <c r="P99" s="184"/>
      <c r="Q99" s="184"/>
      <c r="R99" s="184"/>
      <c r="S99" s="184"/>
      <c r="T99" s="184"/>
    </row>
    <row r="100" spans="1:20" ht="12.75">
      <c r="A100" s="176"/>
      <c r="B100" s="153"/>
      <c r="C100" s="153"/>
      <c r="D100" s="177"/>
      <c r="E100" s="153"/>
      <c r="F100" s="178"/>
      <c r="G100" s="179"/>
      <c r="H100" s="180"/>
      <c r="I100" s="180"/>
      <c r="J100" s="181"/>
      <c r="K100" s="182"/>
      <c r="L100" s="177"/>
      <c r="M100" s="183"/>
      <c r="N100" s="184"/>
      <c r="O100" s="185"/>
      <c r="P100" s="184"/>
      <c r="Q100" s="184"/>
      <c r="R100" s="184"/>
      <c r="S100" s="184"/>
      <c r="T100" s="184"/>
    </row>
    <row r="101" spans="1:20" ht="12.75">
      <c r="A101" s="176"/>
      <c r="B101" s="153"/>
      <c r="C101" s="153"/>
      <c r="D101" s="177"/>
      <c r="E101" s="153"/>
      <c r="F101" s="178"/>
      <c r="G101" s="179"/>
      <c r="H101" s="180"/>
      <c r="I101" s="180"/>
      <c r="J101" s="181"/>
      <c r="K101" s="182"/>
      <c r="L101" s="177"/>
      <c r="M101" s="183"/>
      <c r="N101" s="184"/>
      <c r="O101" s="185"/>
      <c r="P101" s="184"/>
      <c r="Q101" s="184"/>
      <c r="R101" s="184"/>
      <c r="S101" s="184"/>
      <c r="T101" s="184"/>
    </row>
    <row r="102" spans="1:20" ht="12.75">
      <c r="A102" s="176"/>
      <c r="B102" s="153"/>
      <c r="C102" s="153"/>
      <c r="D102" s="177"/>
      <c r="E102" s="153"/>
      <c r="F102" s="178"/>
      <c r="G102" s="179"/>
      <c r="H102" s="180"/>
      <c r="I102" s="180"/>
      <c r="J102" s="181"/>
      <c r="K102" s="182"/>
      <c r="L102" s="177"/>
      <c r="M102" s="183"/>
      <c r="N102" s="184"/>
      <c r="O102" s="185"/>
      <c r="P102" s="184"/>
      <c r="Q102" s="184"/>
      <c r="R102" s="184"/>
      <c r="S102" s="184"/>
      <c r="T102" s="184"/>
    </row>
    <row r="103" spans="1:20" ht="12.75">
      <c r="A103" s="176"/>
      <c r="B103" s="153"/>
      <c r="C103" s="153"/>
      <c r="D103" s="177"/>
      <c r="E103" s="153"/>
      <c r="F103" s="178"/>
      <c r="G103" s="179"/>
      <c r="H103" s="180"/>
      <c r="I103" s="180"/>
      <c r="J103" s="181"/>
      <c r="K103" s="182"/>
      <c r="L103" s="177"/>
      <c r="M103" s="183"/>
      <c r="N103" s="184"/>
      <c r="O103" s="185"/>
      <c r="P103" s="184"/>
      <c r="Q103" s="184"/>
      <c r="R103" s="184"/>
      <c r="S103" s="184"/>
      <c r="T103" s="184"/>
    </row>
    <row r="104" spans="1:20" ht="12.75">
      <c r="A104" s="176"/>
      <c r="B104" s="153"/>
      <c r="C104" s="153"/>
      <c r="D104" s="177"/>
      <c r="E104" s="153"/>
      <c r="F104" s="178"/>
      <c r="G104" s="179"/>
      <c r="H104" s="180"/>
      <c r="I104" s="180"/>
      <c r="J104" s="181"/>
      <c r="K104" s="182"/>
      <c r="L104" s="177"/>
      <c r="M104" s="183"/>
      <c r="N104" s="184"/>
      <c r="O104" s="185"/>
      <c r="P104" s="184"/>
      <c r="Q104" s="184"/>
      <c r="R104" s="184"/>
      <c r="S104" s="184"/>
      <c r="T104" s="184"/>
    </row>
    <row r="105" spans="1:20" ht="12.75">
      <c r="A105" s="176"/>
      <c r="B105" s="153"/>
      <c r="C105" s="153"/>
      <c r="D105" s="177"/>
      <c r="E105" s="153"/>
      <c r="F105" s="178"/>
      <c r="G105" s="179"/>
      <c r="H105" s="180"/>
      <c r="I105" s="180"/>
      <c r="J105" s="181"/>
      <c r="K105" s="182"/>
      <c r="L105" s="177"/>
      <c r="M105" s="183"/>
      <c r="N105" s="184"/>
      <c r="O105" s="185"/>
      <c r="P105" s="184"/>
      <c r="Q105" s="184"/>
      <c r="R105" s="184"/>
      <c r="S105" s="184"/>
      <c r="T105" s="184"/>
    </row>
    <row r="106" spans="1:20" ht="12.75">
      <c r="A106" s="176"/>
      <c r="B106" s="153"/>
      <c r="C106" s="153"/>
      <c r="D106" s="177"/>
      <c r="E106" s="153"/>
      <c r="F106" s="178"/>
      <c r="G106" s="179"/>
      <c r="H106" s="180"/>
      <c r="I106" s="180"/>
      <c r="J106" s="181"/>
      <c r="K106" s="182"/>
      <c r="L106" s="177"/>
      <c r="M106" s="183"/>
      <c r="N106" s="184"/>
      <c r="O106" s="185"/>
      <c r="P106" s="184"/>
      <c r="Q106" s="184"/>
      <c r="R106" s="184"/>
      <c r="S106" s="184"/>
      <c r="T106" s="184"/>
    </row>
    <row r="107" spans="1:20" ht="12.75">
      <c r="A107" s="176"/>
      <c r="B107" s="153"/>
      <c r="C107" s="153"/>
      <c r="D107" s="177"/>
      <c r="E107" s="153"/>
      <c r="F107" s="178"/>
      <c r="G107" s="179"/>
      <c r="H107" s="180"/>
      <c r="I107" s="180"/>
      <c r="J107" s="181"/>
      <c r="K107" s="182"/>
      <c r="L107" s="177"/>
      <c r="M107" s="183"/>
      <c r="N107" s="184"/>
      <c r="O107" s="185"/>
      <c r="P107" s="184"/>
      <c r="Q107" s="184"/>
      <c r="R107" s="184"/>
      <c r="S107" s="184"/>
      <c r="T107" s="184"/>
    </row>
    <row r="108" spans="1:20" ht="12.75">
      <c r="A108" s="176"/>
      <c r="B108" s="153"/>
      <c r="C108" s="153"/>
      <c r="D108" s="177"/>
      <c r="E108" s="153"/>
      <c r="F108" s="178"/>
      <c r="G108" s="179"/>
      <c r="H108" s="180"/>
      <c r="I108" s="180"/>
      <c r="J108" s="181"/>
      <c r="K108" s="182"/>
      <c r="L108" s="177"/>
      <c r="M108" s="183"/>
      <c r="N108" s="184"/>
      <c r="O108" s="185"/>
      <c r="P108" s="184"/>
      <c r="Q108" s="184"/>
      <c r="R108" s="184"/>
      <c r="S108" s="184"/>
      <c r="T108" s="184"/>
    </row>
    <row r="109" spans="1:20" ht="12.75">
      <c r="A109" s="176"/>
      <c r="B109" s="153"/>
      <c r="C109" s="153"/>
      <c r="D109" s="177"/>
      <c r="E109" s="153"/>
      <c r="F109" s="178"/>
      <c r="G109" s="179"/>
      <c r="H109" s="180"/>
      <c r="I109" s="180"/>
      <c r="J109" s="181"/>
      <c r="K109" s="182"/>
      <c r="L109" s="177"/>
      <c r="M109" s="183"/>
      <c r="N109" s="184"/>
      <c r="O109" s="185"/>
      <c r="P109" s="184"/>
      <c r="Q109" s="184"/>
      <c r="R109" s="184"/>
      <c r="S109" s="184"/>
      <c r="T109" s="184"/>
    </row>
    <row r="110" spans="1:20" ht="12.75">
      <c r="A110" s="176"/>
      <c r="B110" s="153"/>
      <c r="C110" s="153"/>
      <c r="D110" s="177"/>
      <c r="E110" s="153"/>
      <c r="F110" s="178"/>
      <c r="G110" s="179"/>
      <c r="H110" s="180"/>
      <c r="I110" s="180"/>
      <c r="J110" s="181"/>
      <c r="K110" s="182"/>
      <c r="L110" s="177"/>
      <c r="M110" s="183"/>
      <c r="N110" s="184"/>
      <c r="O110" s="185"/>
      <c r="P110" s="184"/>
      <c r="Q110" s="184"/>
      <c r="R110" s="184"/>
      <c r="S110" s="184"/>
      <c r="T110" s="184"/>
    </row>
    <row r="111" spans="1:20" ht="12.75">
      <c r="A111" s="176"/>
      <c r="B111" s="153"/>
      <c r="C111" s="153"/>
      <c r="D111" s="177"/>
      <c r="E111" s="153"/>
      <c r="F111" s="178"/>
      <c r="G111" s="179"/>
      <c r="H111" s="180"/>
      <c r="I111" s="180"/>
      <c r="J111" s="181"/>
      <c r="K111" s="182"/>
      <c r="L111" s="177"/>
      <c r="M111" s="183"/>
      <c r="N111" s="184"/>
      <c r="O111" s="185"/>
      <c r="P111" s="184"/>
      <c r="Q111" s="184"/>
      <c r="R111" s="184"/>
      <c r="S111" s="184"/>
      <c r="T111" s="184"/>
    </row>
    <row r="112" spans="1:20" ht="12.75">
      <c r="A112" s="176"/>
      <c r="B112" s="153"/>
      <c r="C112" s="153"/>
      <c r="D112" s="177"/>
      <c r="E112" s="153"/>
      <c r="F112" s="178"/>
      <c r="G112" s="179"/>
      <c r="H112" s="180"/>
      <c r="I112" s="180"/>
      <c r="J112" s="181"/>
      <c r="K112" s="182"/>
      <c r="L112" s="177"/>
      <c r="M112" s="183"/>
      <c r="N112" s="184"/>
      <c r="O112" s="185"/>
      <c r="P112" s="184"/>
      <c r="Q112" s="184"/>
      <c r="R112" s="184"/>
      <c r="S112" s="184"/>
      <c r="T112" s="184"/>
    </row>
    <row r="113" spans="1:20" ht="12.75">
      <c r="A113" s="176"/>
      <c r="B113" s="153"/>
      <c r="C113" s="153"/>
      <c r="D113" s="177"/>
      <c r="E113" s="153"/>
      <c r="F113" s="178"/>
      <c r="G113" s="179"/>
      <c r="H113" s="180"/>
      <c r="I113" s="180"/>
      <c r="J113" s="181"/>
      <c r="K113" s="182"/>
      <c r="L113" s="177"/>
      <c r="M113" s="183"/>
      <c r="N113" s="184"/>
      <c r="O113" s="185"/>
      <c r="P113" s="184"/>
      <c r="Q113" s="184"/>
      <c r="R113" s="184"/>
      <c r="S113" s="184"/>
      <c r="T113" s="184"/>
    </row>
    <row r="114" spans="1:20" ht="12.75">
      <c r="A114" s="176"/>
      <c r="B114" s="153"/>
      <c r="C114" s="153"/>
      <c r="D114" s="177"/>
      <c r="E114" s="153"/>
      <c r="F114" s="178"/>
      <c r="G114" s="179"/>
      <c r="H114" s="180"/>
      <c r="I114" s="180"/>
      <c r="J114" s="181"/>
      <c r="K114" s="182"/>
      <c r="L114" s="177"/>
      <c r="M114" s="183"/>
      <c r="N114" s="184"/>
      <c r="O114" s="185"/>
      <c r="P114" s="184"/>
      <c r="Q114" s="184"/>
      <c r="R114" s="184"/>
      <c r="S114" s="184"/>
      <c r="T114" s="184"/>
    </row>
    <row r="115" spans="1:20" ht="12.75">
      <c r="A115" s="176"/>
      <c r="B115" s="153"/>
      <c r="C115" s="153"/>
      <c r="D115" s="177"/>
      <c r="E115" s="153"/>
      <c r="F115" s="178"/>
      <c r="G115" s="179"/>
      <c r="H115" s="180"/>
      <c r="I115" s="180"/>
      <c r="J115" s="181"/>
      <c r="K115" s="182"/>
      <c r="L115" s="177"/>
      <c r="M115" s="183"/>
      <c r="N115" s="184"/>
      <c r="O115" s="185"/>
      <c r="P115" s="184"/>
      <c r="Q115" s="184"/>
      <c r="R115" s="184"/>
      <c r="S115" s="184"/>
      <c r="T115" s="184"/>
    </row>
    <row r="116" spans="1:20" ht="12.75">
      <c r="A116" s="176"/>
      <c r="B116" s="153"/>
      <c r="C116" s="153"/>
      <c r="D116" s="177"/>
      <c r="E116" s="153"/>
      <c r="F116" s="178"/>
      <c r="G116" s="179"/>
      <c r="H116" s="180"/>
      <c r="I116" s="180"/>
      <c r="J116" s="181"/>
      <c r="K116" s="182"/>
      <c r="L116" s="177"/>
      <c r="M116" s="183"/>
      <c r="N116" s="184"/>
      <c r="O116" s="185"/>
      <c r="P116" s="184"/>
      <c r="Q116" s="184"/>
      <c r="R116" s="184"/>
      <c r="S116" s="184"/>
      <c r="T116" s="184"/>
    </row>
    <row r="117" spans="1:20" ht="12.75">
      <c r="A117" s="176"/>
      <c r="B117" s="153"/>
      <c r="C117" s="153"/>
      <c r="D117" s="177"/>
      <c r="E117" s="153"/>
      <c r="F117" s="178"/>
      <c r="G117" s="179"/>
      <c r="H117" s="180"/>
      <c r="I117" s="180"/>
      <c r="J117" s="181"/>
      <c r="K117" s="182"/>
      <c r="L117" s="177"/>
      <c r="M117" s="183"/>
      <c r="N117" s="184"/>
      <c r="O117" s="185"/>
      <c r="P117" s="184"/>
      <c r="Q117" s="184"/>
      <c r="R117" s="184"/>
      <c r="S117" s="184"/>
      <c r="T117" s="184"/>
    </row>
    <row r="118" spans="1:20" ht="12.75">
      <c r="A118" s="176"/>
      <c r="B118" s="153"/>
      <c r="C118" s="153"/>
      <c r="D118" s="177"/>
      <c r="E118" s="153"/>
      <c r="F118" s="178"/>
      <c r="G118" s="179"/>
      <c r="H118" s="180"/>
      <c r="I118" s="180"/>
      <c r="J118" s="181"/>
      <c r="K118" s="182"/>
      <c r="L118" s="177"/>
      <c r="M118" s="183"/>
      <c r="N118" s="184"/>
      <c r="O118" s="185"/>
      <c r="P118" s="184"/>
      <c r="Q118" s="184"/>
      <c r="R118" s="184"/>
      <c r="S118" s="184"/>
      <c r="T118" s="184"/>
    </row>
    <row r="119" spans="1:20" ht="12.75">
      <c r="A119" s="176"/>
      <c r="B119" s="153"/>
      <c r="C119" s="153"/>
      <c r="D119" s="177"/>
      <c r="E119" s="153"/>
      <c r="F119" s="178"/>
      <c r="G119" s="179"/>
      <c r="H119" s="180"/>
      <c r="I119" s="180"/>
      <c r="J119" s="181"/>
      <c r="K119" s="182"/>
      <c r="L119" s="177"/>
      <c r="M119" s="183"/>
      <c r="N119" s="184"/>
      <c r="O119" s="185"/>
      <c r="P119" s="184"/>
      <c r="Q119" s="184"/>
      <c r="R119" s="184"/>
      <c r="S119" s="184"/>
      <c r="T119" s="184"/>
    </row>
    <row r="120" spans="1:20" ht="12.75">
      <c r="A120" s="176"/>
      <c r="B120" s="153"/>
      <c r="C120" s="153"/>
      <c r="D120" s="177"/>
      <c r="E120" s="153"/>
      <c r="F120" s="178"/>
      <c r="G120" s="179"/>
      <c r="H120" s="180"/>
      <c r="I120" s="180"/>
      <c r="J120" s="181"/>
      <c r="K120" s="182"/>
      <c r="L120" s="177"/>
      <c r="M120" s="183"/>
      <c r="N120" s="184"/>
      <c r="O120" s="185"/>
      <c r="P120" s="184"/>
      <c r="Q120" s="184"/>
      <c r="R120" s="184"/>
      <c r="S120" s="184"/>
      <c r="T120" s="184"/>
    </row>
    <row r="121" spans="1:20" ht="12.75">
      <c r="A121" s="176"/>
      <c r="B121" s="153"/>
      <c r="C121" s="153"/>
      <c r="D121" s="177"/>
      <c r="E121" s="153"/>
      <c r="F121" s="178"/>
      <c r="G121" s="179"/>
      <c r="H121" s="180"/>
      <c r="I121" s="180"/>
      <c r="J121" s="181"/>
      <c r="K121" s="182"/>
      <c r="L121" s="177"/>
      <c r="M121" s="183"/>
      <c r="N121" s="184"/>
      <c r="O121" s="185"/>
      <c r="P121" s="184"/>
      <c r="Q121" s="184"/>
      <c r="R121" s="184"/>
      <c r="S121" s="184"/>
      <c r="T121" s="184"/>
    </row>
    <row r="122" spans="1:20" ht="12.75">
      <c r="A122" s="176"/>
      <c r="B122" s="153"/>
      <c r="C122" s="153"/>
      <c r="D122" s="177"/>
      <c r="E122" s="153"/>
      <c r="F122" s="178"/>
      <c r="G122" s="179"/>
      <c r="H122" s="180"/>
      <c r="I122" s="180"/>
      <c r="J122" s="181"/>
      <c r="K122" s="182"/>
      <c r="L122" s="177"/>
      <c r="M122" s="183"/>
      <c r="N122" s="184"/>
      <c r="O122" s="185"/>
      <c r="P122" s="184"/>
      <c r="Q122" s="184"/>
      <c r="R122" s="184"/>
      <c r="S122" s="184"/>
      <c r="T122" s="184"/>
    </row>
    <row r="123" spans="1:20" ht="12.75">
      <c r="A123" s="176"/>
      <c r="B123" s="153"/>
      <c r="C123" s="153"/>
      <c r="D123" s="177"/>
      <c r="E123" s="153"/>
      <c r="F123" s="178"/>
      <c r="G123" s="179"/>
      <c r="H123" s="180"/>
      <c r="I123" s="180"/>
      <c r="J123" s="181"/>
      <c r="K123" s="182"/>
      <c r="L123" s="177"/>
      <c r="M123" s="183"/>
      <c r="N123" s="184"/>
      <c r="O123" s="185"/>
      <c r="P123" s="184"/>
      <c r="Q123" s="184"/>
      <c r="R123" s="184"/>
      <c r="S123" s="184"/>
      <c r="T123" s="184"/>
    </row>
    <row r="124" spans="1:20" ht="12.75">
      <c r="A124" s="176"/>
      <c r="B124" s="153"/>
      <c r="C124" s="153"/>
      <c r="D124" s="177"/>
      <c r="E124" s="153"/>
      <c r="F124" s="178"/>
      <c r="G124" s="179"/>
      <c r="H124" s="180"/>
      <c r="I124" s="180"/>
      <c r="J124" s="181"/>
      <c r="K124" s="182"/>
      <c r="L124" s="177"/>
      <c r="M124" s="183"/>
      <c r="N124" s="184"/>
      <c r="O124" s="185"/>
      <c r="P124" s="184"/>
      <c r="Q124" s="184"/>
      <c r="R124" s="184"/>
      <c r="S124" s="184"/>
      <c r="T124" s="184"/>
    </row>
    <row r="125" spans="1:20" ht="12.75">
      <c r="A125" s="176"/>
      <c r="B125" s="153"/>
      <c r="C125" s="153"/>
      <c r="D125" s="177"/>
      <c r="E125" s="153"/>
      <c r="F125" s="178"/>
      <c r="G125" s="179"/>
      <c r="H125" s="180"/>
      <c r="I125" s="180"/>
      <c r="J125" s="181"/>
      <c r="K125" s="182"/>
      <c r="L125" s="177"/>
      <c r="M125" s="183"/>
      <c r="N125" s="184"/>
      <c r="O125" s="185"/>
      <c r="P125" s="184"/>
      <c r="Q125" s="184"/>
      <c r="R125" s="184"/>
      <c r="S125" s="184"/>
      <c r="T125" s="184"/>
    </row>
    <row r="126" spans="1:20" ht="12.75">
      <c r="A126" s="176"/>
      <c r="B126" s="153"/>
      <c r="C126" s="153"/>
      <c r="D126" s="177"/>
      <c r="E126" s="153"/>
      <c r="F126" s="178"/>
      <c r="G126" s="179"/>
      <c r="H126" s="180"/>
      <c r="I126" s="180"/>
      <c r="J126" s="181"/>
      <c r="K126" s="182"/>
      <c r="L126" s="177"/>
      <c r="M126" s="183"/>
      <c r="N126" s="184"/>
      <c r="O126" s="185"/>
      <c r="P126" s="184"/>
      <c r="Q126" s="184"/>
      <c r="R126" s="184"/>
      <c r="S126" s="184"/>
      <c r="T126" s="184"/>
    </row>
    <row r="127" spans="1:20" ht="12.75">
      <c r="A127" s="176"/>
      <c r="B127" s="153"/>
      <c r="C127" s="153"/>
      <c r="D127" s="177"/>
      <c r="E127" s="153"/>
      <c r="F127" s="178"/>
      <c r="G127" s="179"/>
      <c r="H127" s="180"/>
      <c r="I127" s="180"/>
      <c r="J127" s="181"/>
      <c r="K127" s="182"/>
      <c r="L127" s="177"/>
      <c r="M127" s="183"/>
      <c r="N127" s="184"/>
      <c r="O127" s="185"/>
      <c r="P127" s="184"/>
      <c r="Q127" s="184"/>
      <c r="R127" s="184"/>
      <c r="S127" s="184"/>
      <c r="T127" s="184"/>
    </row>
    <row r="128" spans="1:20" ht="12.75">
      <c r="A128" s="176"/>
      <c r="B128" s="153"/>
      <c r="C128" s="153"/>
      <c r="D128" s="177"/>
      <c r="E128" s="153"/>
      <c r="F128" s="178"/>
      <c r="G128" s="179"/>
      <c r="H128" s="180"/>
      <c r="I128" s="180"/>
      <c r="J128" s="181"/>
      <c r="K128" s="182"/>
      <c r="L128" s="177"/>
      <c r="M128" s="183"/>
      <c r="N128" s="184"/>
      <c r="O128" s="185"/>
      <c r="P128" s="184"/>
      <c r="Q128" s="184"/>
      <c r="R128" s="184"/>
      <c r="S128" s="184"/>
      <c r="T128" s="184"/>
    </row>
    <row r="129" spans="1:20" ht="12.75">
      <c r="A129" s="176"/>
      <c r="B129" s="153"/>
      <c r="C129" s="153"/>
      <c r="D129" s="177"/>
      <c r="E129" s="153"/>
      <c r="F129" s="178"/>
      <c r="G129" s="179"/>
      <c r="H129" s="180"/>
      <c r="I129" s="180"/>
      <c r="J129" s="181"/>
      <c r="K129" s="182"/>
      <c r="L129" s="177"/>
      <c r="M129" s="183"/>
      <c r="N129" s="184"/>
      <c r="O129" s="185"/>
      <c r="P129" s="184"/>
      <c r="Q129" s="184"/>
      <c r="R129" s="184"/>
      <c r="S129" s="184"/>
      <c r="T129" s="184"/>
    </row>
    <row r="130" spans="1:20" ht="12.75">
      <c r="A130" s="176"/>
      <c r="B130" s="153"/>
      <c r="C130" s="153"/>
      <c r="D130" s="177"/>
      <c r="E130" s="153"/>
      <c r="F130" s="178"/>
      <c r="G130" s="179"/>
      <c r="H130" s="180"/>
      <c r="I130" s="180"/>
      <c r="J130" s="181"/>
      <c r="K130" s="182"/>
      <c r="L130" s="177"/>
      <c r="M130" s="183"/>
      <c r="N130" s="184"/>
      <c r="O130" s="185"/>
      <c r="P130" s="184"/>
      <c r="Q130" s="184"/>
      <c r="R130" s="184"/>
      <c r="S130" s="184"/>
      <c r="T130" s="184"/>
    </row>
    <row r="131" spans="1:20" ht="12.75">
      <c r="A131" s="176"/>
      <c r="B131" s="153"/>
      <c r="C131" s="153"/>
      <c r="D131" s="177"/>
      <c r="E131" s="153"/>
      <c r="F131" s="178"/>
      <c r="G131" s="179"/>
      <c r="H131" s="180"/>
      <c r="I131" s="180"/>
      <c r="J131" s="181"/>
      <c r="K131" s="182"/>
      <c r="L131" s="177"/>
      <c r="M131" s="183"/>
      <c r="N131" s="184"/>
      <c r="O131" s="185"/>
      <c r="P131" s="184"/>
      <c r="Q131" s="184"/>
      <c r="R131" s="184"/>
      <c r="S131" s="184"/>
      <c r="T131" s="184"/>
    </row>
    <row r="132" spans="1:20" ht="12.75">
      <c r="A132" s="176"/>
      <c r="B132" s="153"/>
      <c r="C132" s="153"/>
      <c r="D132" s="177"/>
      <c r="E132" s="153"/>
      <c r="F132" s="178"/>
      <c r="G132" s="179"/>
      <c r="H132" s="180"/>
      <c r="I132" s="180"/>
      <c r="J132" s="181"/>
      <c r="K132" s="182"/>
      <c r="L132" s="177"/>
      <c r="M132" s="183"/>
      <c r="N132" s="184"/>
      <c r="O132" s="185"/>
      <c r="P132" s="184"/>
      <c r="Q132" s="184"/>
      <c r="R132" s="184"/>
      <c r="S132" s="184"/>
      <c r="T132" s="184"/>
    </row>
    <row r="133" spans="1:20" ht="12.75">
      <c r="A133" s="176"/>
      <c r="B133" s="153"/>
      <c r="C133" s="153"/>
      <c r="D133" s="177"/>
      <c r="E133" s="153"/>
      <c r="F133" s="178"/>
      <c r="G133" s="179"/>
      <c r="H133" s="180"/>
      <c r="I133" s="180"/>
      <c r="J133" s="181"/>
      <c r="K133" s="182"/>
      <c r="L133" s="177"/>
      <c r="M133" s="183"/>
      <c r="N133" s="184"/>
      <c r="O133" s="185"/>
      <c r="P133" s="184"/>
      <c r="Q133" s="184"/>
      <c r="R133" s="184"/>
      <c r="S133" s="184"/>
      <c r="T133" s="184"/>
    </row>
    <row r="134" spans="1:20" ht="12.75">
      <c r="A134" s="176"/>
      <c r="B134" s="153"/>
      <c r="C134" s="153"/>
      <c r="D134" s="177"/>
      <c r="E134" s="153"/>
      <c r="F134" s="178"/>
      <c r="G134" s="179"/>
      <c r="H134" s="180"/>
      <c r="I134" s="180"/>
      <c r="J134" s="181"/>
      <c r="K134" s="182"/>
      <c r="L134" s="177"/>
      <c r="M134" s="183"/>
      <c r="N134" s="184"/>
      <c r="O134" s="185"/>
      <c r="P134" s="184"/>
      <c r="Q134" s="184"/>
      <c r="R134" s="184"/>
      <c r="S134" s="184"/>
      <c r="T134" s="184"/>
    </row>
    <row r="135" spans="1:20" ht="12.75">
      <c r="A135" s="176"/>
      <c r="B135" s="153"/>
      <c r="C135" s="153"/>
      <c r="D135" s="177"/>
      <c r="E135" s="153"/>
      <c r="F135" s="178"/>
      <c r="G135" s="179"/>
      <c r="H135" s="180"/>
      <c r="I135" s="180"/>
      <c r="J135" s="181"/>
      <c r="K135" s="182"/>
      <c r="L135" s="177"/>
      <c r="M135" s="183"/>
      <c r="N135" s="184"/>
      <c r="O135" s="185"/>
      <c r="P135" s="184"/>
      <c r="Q135" s="184"/>
      <c r="R135" s="184"/>
      <c r="S135" s="184"/>
      <c r="T135" s="184"/>
    </row>
    <row r="136" spans="1:20" ht="12.75">
      <c r="A136" s="176"/>
      <c r="B136" s="153"/>
      <c r="C136" s="153"/>
      <c r="D136" s="177"/>
      <c r="E136" s="153"/>
      <c r="F136" s="178"/>
      <c r="G136" s="179"/>
      <c r="H136" s="180"/>
      <c r="I136" s="180"/>
      <c r="J136" s="181"/>
      <c r="K136" s="182"/>
      <c r="L136" s="177"/>
      <c r="M136" s="183"/>
      <c r="N136" s="184"/>
      <c r="O136" s="185"/>
      <c r="P136" s="184"/>
      <c r="Q136" s="184"/>
      <c r="R136" s="184"/>
      <c r="S136" s="184"/>
      <c r="T136" s="184"/>
    </row>
    <row r="137" spans="1:20" ht="12.75">
      <c r="A137" s="176"/>
      <c r="B137" s="153"/>
      <c r="C137" s="153"/>
      <c r="D137" s="177"/>
      <c r="E137" s="153"/>
      <c r="F137" s="178"/>
      <c r="G137" s="179"/>
      <c r="H137" s="180"/>
      <c r="I137" s="180"/>
      <c r="J137" s="181"/>
      <c r="K137" s="182"/>
      <c r="L137" s="177"/>
      <c r="M137" s="183"/>
      <c r="N137" s="184"/>
      <c r="O137" s="185"/>
      <c r="P137" s="184"/>
      <c r="Q137" s="184"/>
      <c r="R137" s="184"/>
      <c r="S137" s="184"/>
      <c r="T137" s="184"/>
    </row>
    <row r="138" spans="1:20" ht="12.75">
      <c r="A138" s="176"/>
      <c r="B138" s="153"/>
      <c r="C138" s="153"/>
      <c r="D138" s="177"/>
      <c r="E138" s="153"/>
      <c r="F138" s="178"/>
      <c r="G138" s="179"/>
      <c r="H138" s="180"/>
      <c r="I138" s="180"/>
      <c r="J138" s="181"/>
      <c r="K138" s="182"/>
      <c r="L138" s="177"/>
      <c r="M138" s="183"/>
      <c r="N138" s="184"/>
      <c r="O138" s="185"/>
      <c r="P138" s="184"/>
      <c r="Q138" s="184"/>
      <c r="R138" s="184"/>
      <c r="S138" s="184"/>
      <c r="T138" s="184"/>
    </row>
    <row r="139" spans="1:20" ht="12.75">
      <c r="A139" s="176"/>
      <c r="B139" s="153"/>
      <c r="C139" s="153"/>
      <c r="D139" s="177"/>
      <c r="E139" s="153"/>
      <c r="F139" s="178"/>
      <c r="G139" s="179"/>
      <c r="H139" s="180"/>
      <c r="I139" s="180"/>
      <c r="J139" s="181"/>
      <c r="K139" s="182"/>
      <c r="L139" s="177"/>
      <c r="M139" s="183"/>
      <c r="N139" s="184"/>
      <c r="O139" s="185"/>
      <c r="P139" s="184"/>
      <c r="Q139" s="184"/>
      <c r="R139" s="184"/>
      <c r="S139" s="184"/>
      <c r="T139" s="184"/>
    </row>
    <row r="140" spans="1:20" ht="12.75">
      <c r="A140" s="176"/>
      <c r="B140" s="153"/>
      <c r="C140" s="153"/>
      <c r="D140" s="177"/>
      <c r="E140" s="153"/>
      <c r="F140" s="178"/>
      <c r="G140" s="179"/>
      <c r="H140" s="180"/>
      <c r="I140" s="180"/>
      <c r="J140" s="181"/>
      <c r="K140" s="182"/>
      <c r="L140" s="177"/>
      <c r="M140" s="183"/>
      <c r="N140" s="184"/>
      <c r="O140" s="185"/>
      <c r="P140" s="184"/>
      <c r="Q140" s="184"/>
      <c r="R140" s="184"/>
      <c r="S140" s="184"/>
      <c r="T140" s="184"/>
    </row>
    <row r="141" spans="1:20" ht="12.75">
      <c r="A141" s="176"/>
      <c r="B141" s="153"/>
      <c r="C141" s="153"/>
      <c r="D141" s="177"/>
      <c r="E141" s="153"/>
      <c r="F141" s="178"/>
      <c r="G141" s="179"/>
      <c r="H141" s="180"/>
      <c r="I141" s="180"/>
      <c r="J141" s="181"/>
      <c r="K141" s="182"/>
      <c r="L141" s="177"/>
      <c r="M141" s="183"/>
      <c r="N141" s="184"/>
      <c r="O141" s="185"/>
      <c r="P141" s="184"/>
      <c r="Q141" s="184"/>
      <c r="R141" s="184"/>
      <c r="S141" s="184"/>
      <c r="T141" s="184"/>
    </row>
    <row r="142" spans="1:20" ht="12.75">
      <c r="A142" s="176"/>
      <c r="B142" s="153"/>
      <c r="C142" s="153"/>
      <c r="D142" s="177"/>
      <c r="E142" s="153"/>
      <c r="F142" s="178"/>
      <c r="G142" s="179"/>
      <c r="H142" s="180"/>
      <c r="I142" s="180"/>
      <c r="J142" s="181"/>
      <c r="K142" s="182"/>
      <c r="L142" s="177"/>
      <c r="M142" s="183"/>
      <c r="N142" s="184"/>
      <c r="O142" s="185"/>
      <c r="P142" s="184"/>
      <c r="Q142" s="184"/>
      <c r="R142" s="184"/>
      <c r="S142" s="184"/>
      <c r="T142" s="184"/>
    </row>
    <row r="143" spans="1:20" ht="12.75">
      <c r="A143" s="176"/>
      <c r="B143" s="153"/>
      <c r="C143" s="153"/>
      <c r="D143" s="177"/>
      <c r="E143" s="153"/>
      <c r="F143" s="178"/>
      <c r="G143" s="179"/>
      <c r="H143" s="180"/>
      <c r="I143" s="180"/>
      <c r="J143" s="181"/>
      <c r="K143" s="182"/>
      <c r="L143" s="177"/>
      <c r="M143" s="183"/>
      <c r="N143" s="184"/>
      <c r="O143" s="185"/>
      <c r="P143" s="184"/>
      <c r="Q143" s="184"/>
      <c r="R143" s="184"/>
      <c r="S143" s="184"/>
      <c r="T143" s="184"/>
    </row>
    <row r="144" spans="1:20" ht="12.75">
      <c r="A144" s="176"/>
      <c r="B144" s="153"/>
      <c r="C144" s="153"/>
      <c r="D144" s="177"/>
      <c r="E144" s="153"/>
      <c r="F144" s="178"/>
      <c r="G144" s="179"/>
      <c r="H144" s="180"/>
      <c r="I144" s="180"/>
      <c r="J144" s="181"/>
      <c r="K144" s="182"/>
      <c r="L144" s="177"/>
      <c r="M144" s="183"/>
      <c r="N144" s="184"/>
      <c r="O144" s="185"/>
      <c r="P144" s="184"/>
      <c r="Q144" s="184"/>
      <c r="R144" s="184"/>
      <c r="S144" s="184"/>
      <c r="T144" s="184"/>
    </row>
    <row r="145" spans="1:20" ht="12.75">
      <c r="A145" s="176"/>
      <c r="B145" s="153"/>
      <c r="C145" s="153"/>
      <c r="D145" s="177"/>
      <c r="E145" s="153"/>
      <c r="F145" s="178"/>
      <c r="G145" s="179"/>
      <c r="H145" s="180"/>
      <c r="I145" s="180"/>
      <c r="J145" s="181"/>
      <c r="K145" s="182"/>
      <c r="L145" s="177"/>
      <c r="M145" s="183"/>
      <c r="N145" s="184"/>
      <c r="O145" s="185"/>
      <c r="P145" s="184"/>
      <c r="Q145" s="184"/>
      <c r="R145" s="184"/>
      <c r="S145" s="184"/>
      <c r="T145" s="184"/>
    </row>
    <row r="146" spans="1:20" ht="12.75">
      <c r="A146" s="176"/>
      <c r="B146" s="153"/>
      <c r="C146" s="153"/>
      <c r="D146" s="177"/>
      <c r="E146" s="153"/>
      <c r="F146" s="178"/>
      <c r="G146" s="179"/>
      <c r="H146" s="180"/>
      <c r="I146" s="180"/>
      <c r="J146" s="181"/>
      <c r="K146" s="182"/>
      <c r="L146" s="177"/>
      <c r="M146" s="183"/>
      <c r="N146" s="184"/>
      <c r="O146" s="185"/>
      <c r="P146" s="184"/>
      <c r="Q146" s="184"/>
      <c r="R146" s="184"/>
      <c r="S146" s="184"/>
      <c r="T146" s="184"/>
    </row>
    <row r="147" spans="1:20" ht="12.75">
      <c r="A147" s="176"/>
      <c r="B147" s="153"/>
      <c r="C147" s="153"/>
      <c r="D147" s="177"/>
      <c r="E147" s="153"/>
      <c r="F147" s="178"/>
      <c r="G147" s="179"/>
      <c r="H147" s="180"/>
      <c r="I147" s="180"/>
      <c r="J147" s="181"/>
      <c r="K147" s="182"/>
      <c r="L147" s="177"/>
      <c r="M147" s="183"/>
      <c r="N147" s="184"/>
      <c r="O147" s="185"/>
      <c r="P147" s="184"/>
      <c r="Q147" s="184"/>
      <c r="R147" s="184"/>
      <c r="S147" s="184"/>
      <c r="T147" s="184"/>
    </row>
    <row r="148" spans="1:20" ht="12.75">
      <c r="A148" s="176"/>
      <c r="B148" s="153"/>
      <c r="C148" s="153"/>
      <c r="D148" s="177"/>
      <c r="E148" s="153"/>
      <c r="F148" s="178"/>
      <c r="G148" s="179"/>
      <c r="H148" s="180"/>
      <c r="I148" s="180"/>
      <c r="J148" s="181"/>
      <c r="K148" s="182"/>
      <c r="L148" s="177"/>
      <c r="M148" s="183"/>
      <c r="N148" s="184"/>
      <c r="O148" s="185"/>
      <c r="P148" s="184"/>
      <c r="Q148" s="184"/>
      <c r="R148" s="184"/>
      <c r="S148" s="184"/>
      <c r="T148" s="184"/>
    </row>
    <row r="149" spans="1:20" ht="12.75">
      <c r="A149" s="176"/>
      <c r="B149" s="153"/>
      <c r="C149" s="153"/>
      <c r="D149" s="177"/>
      <c r="E149" s="153"/>
      <c r="F149" s="178"/>
      <c r="G149" s="179"/>
      <c r="H149" s="180"/>
      <c r="I149" s="180"/>
      <c r="J149" s="181"/>
      <c r="K149" s="182"/>
      <c r="L149" s="177"/>
      <c r="M149" s="183"/>
      <c r="N149" s="184"/>
      <c r="O149" s="185"/>
      <c r="P149" s="184"/>
      <c r="Q149" s="184"/>
      <c r="R149" s="184"/>
      <c r="S149" s="184"/>
      <c r="T149" s="184"/>
    </row>
    <row r="150" spans="1:20" ht="12.75">
      <c r="A150" s="176"/>
      <c r="B150" s="153"/>
      <c r="C150" s="153"/>
      <c r="D150" s="177"/>
      <c r="E150" s="153"/>
      <c r="F150" s="178"/>
      <c r="G150" s="179"/>
      <c r="H150" s="180"/>
      <c r="I150" s="180"/>
      <c r="J150" s="181"/>
      <c r="K150" s="182"/>
      <c r="L150" s="177"/>
      <c r="M150" s="183"/>
      <c r="N150" s="184"/>
      <c r="O150" s="185"/>
      <c r="P150" s="184"/>
      <c r="Q150" s="184"/>
      <c r="R150" s="184"/>
      <c r="S150" s="184"/>
      <c r="T150" s="184"/>
    </row>
    <row r="151" spans="1:20" ht="12.75">
      <c r="A151" s="176"/>
      <c r="B151" s="153"/>
      <c r="C151" s="153"/>
      <c r="D151" s="177"/>
      <c r="E151" s="153"/>
      <c r="F151" s="178"/>
      <c r="G151" s="179"/>
      <c r="H151" s="180"/>
      <c r="I151" s="180"/>
      <c r="J151" s="181"/>
      <c r="K151" s="182"/>
      <c r="L151" s="177"/>
      <c r="M151" s="183"/>
      <c r="N151" s="184"/>
      <c r="O151" s="185"/>
      <c r="P151" s="184"/>
      <c r="Q151" s="184"/>
      <c r="R151" s="184"/>
      <c r="S151" s="184"/>
      <c r="T151" s="184"/>
    </row>
    <row r="152" spans="1:20" ht="12.75">
      <c r="A152" s="176"/>
      <c r="B152" s="153"/>
      <c r="C152" s="153"/>
      <c r="D152" s="177"/>
      <c r="E152" s="153"/>
      <c r="F152" s="178"/>
      <c r="G152" s="179"/>
      <c r="H152" s="180"/>
      <c r="I152" s="180"/>
      <c r="J152" s="181"/>
      <c r="K152" s="182"/>
      <c r="L152" s="177"/>
      <c r="M152" s="183"/>
      <c r="N152" s="184"/>
      <c r="O152" s="185"/>
      <c r="P152" s="184"/>
      <c r="Q152" s="184"/>
      <c r="R152" s="184"/>
      <c r="S152" s="184"/>
      <c r="T152" s="184"/>
    </row>
    <row r="153" spans="1:20" ht="12.75">
      <c r="A153" s="176"/>
      <c r="B153" s="153"/>
      <c r="C153" s="153"/>
      <c r="D153" s="177"/>
      <c r="E153" s="153"/>
      <c r="F153" s="178"/>
      <c r="G153" s="179"/>
      <c r="H153" s="180"/>
      <c r="I153" s="180"/>
      <c r="J153" s="181"/>
      <c r="K153" s="182"/>
      <c r="L153" s="177"/>
      <c r="M153" s="183"/>
      <c r="N153" s="184"/>
      <c r="O153" s="185"/>
      <c r="P153" s="184"/>
      <c r="Q153" s="184"/>
      <c r="R153" s="184"/>
      <c r="S153" s="184"/>
      <c r="T153" s="184"/>
    </row>
    <row r="154" spans="1:20" ht="12.75">
      <c r="A154" s="176"/>
      <c r="B154" s="153"/>
      <c r="C154" s="153"/>
      <c r="D154" s="177"/>
      <c r="E154" s="153"/>
      <c r="F154" s="178"/>
      <c r="G154" s="179"/>
      <c r="H154" s="180"/>
      <c r="I154" s="180"/>
      <c r="J154" s="181"/>
      <c r="K154" s="182"/>
      <c r="L154" s="177"/>
      <c r="M154" s="183"/>
      <c r="N154" s="184"/>
      <c r="O154" s="185"/>
      <c r="P154" s="184"/>
      <c r="Q154" s="184"/>
      <c r="R154" s="184"/>
      <c r="S154" s="184"/>
      <c r="T154" s="184"/>
    </row>
    <row r="155" spans="1:20" ht="12.75">
      <c r="A155" s="176"/>
      <c r="B155" s="153"/>
      <c r="C155" s="153"/>
      <c r="D155" s="177"/>
      <c r="E155" s="153"/>
      <c r="F155" s="178"/>
      <c r="G155" s="179"/>
      <c r="H155" s="180"/>
      <c r="I155" s="180"/>
      <c r="J155" s="181"/>
      <c r="K155" s="182"/>
      <c r="L155" s="177"/>
      <c r="M155" s="183"/>
      <c r="N155" s="184"/>
      <c r="O155" s="185"/>
      <c r="P155" s="184"/>
      <c r="Q155" s="184"/>
      <c r="R155" s="184"/>
      <c r="S155" s="184"/>
      <c r="T155" s="184"/>
    </row>
    <row r="156" spans="1:20" ht="12.75">
      <c r="A156" s="176"/>
      <c r="B156" s="153"/>
      <c r="C156" s="153"/>
      <c r="D156" s="177"/>
      <c r="E156" s="153"/>
      <c r="F156" s="178"/>
      <c r="G156" s="179"/>
      <c r="H156" s="180"/>
      <c r="I156" s="180"/>
      <c r="J156" s="181"/>
      <c r="K156" s="182"/>
      <c r="L156" s="177"/>
      <c r="M156" s="183"/>
      <c r="N156" s="184"/>
      <c r="O156" s="185"/>
      <c r="P156" s="184"/>
      <c r="Q156" s="184"/>
      <c r="R156" s="184"/>
      <c r="S156" s="184"/>
      <c r="T156" s="184"/>
    </row>
    <row r="157" spans="1:20" ht="12.75">
      <c r="A157" s="176"/>
      <c r="B157" s="153"/>
      <c r="C157" s="153"/>
      <c r="D157" s="177"/>
      <c r="E157" s="153"/>
      <c r="F157" s="178"/>
      <c r="G157" s="179"/>
      <c r="H157" s="180"/>
      <c r="I157" s="180"/>
      <c r="J157" s="181"/>
      <c r="K157" s="182"/>
      <c r="L157" s="177"/>
      <c r="M157" s="183"/>
      <c r="N157" s="184"/>
      <c r="O157" s="185"/>
      <c r="P157" s="184"/>
      <c r="Q157" s="184"/>
      <c r="R157" s="184"/>
      <c r="S157" s="184"/>
      <c r="T157" s="184"/>
    </row>
    <row r="158" spans="1:20" ht="12.75">
      <c r="A158" s="176"/>
      <c r="B158" s="153"/>
      <c r="C158" s="153"/>
      <c r="D158" s="177"/>
      <c r="E158" s="153"/>
      <c r="F158" s="178"/>
      <c r="G158" s="179"/>
      <c r="H158" s="180"/>
      <c r="I158" s="180"/>
      <c r="J158" s="181"/>
      <c r="K158" s="182"/>
      <c r="L158" s="177"/>
      <c r="M158" s="183"/>
      <c r="N158" s="184"/>
      <c r="O158" s="185"/>
      <c r="P158" s="184"/>
      <c r="Q158" s="184"/>
      <c r="R158" s="184"/>
      <c r="S158" s="184"/>
      <c r="T158" s="184"/>
    </row>
    <row r="159" spans="1:20" ht="12.75">
      <c r="A159" s="176"/>
      <c r="B159" s="153"/>
      <c r="C159" s="153"/>
      <c r="D159" s="177"/>
      <c r="E159" s="153"/>
      <c r="F159" s="178"/>
      <c r="G159" s="179"/>
      <c r="H159" s="180"/>
      <c r="I159" s="180"/>
      <c r="J159" s="181"/>
      <c r="K159" s="182"/>
      <c r="L159" s="177"/>
      <c r="M159" s="183"/>
      <c r="N159" s="184"/>
      <c r="O159" s="185"/>
      <c r="P159" s="184"/>
      <c r="Q159" s="184"/>
      <c r="R159" s="184"/>
      <c r="S159" s="184"/>
      <c r="T159" s="184"/>
    </row>
    <row r="160" spans="1:20" ht="12.75">
      <c r="A160" s="176"/>
      <c r="B160" s="153"/>
      <c r="C160" s="153"/>
      <c r="D160" s="177"/>
      <c r="E160" s="153"/>
      <c r="F160" s="178"/>
      <c r="G160" s="179"/>
      <c r="H160" s="180"/>
      <c r="I160" s="180"/>
      <c r="J160" s="181"/>
      <c r="K160" s="182"/>
      <c r="L160" s="177"/>
      <c r="M160" s="183"/>
      <c r="N160" s="184"/>
      <c r="O160" s="185"/>
      <c r="P160" s="184"/>
      <c r="Q160" s="184"/>
      <c r="R160" s="184"/>
      <c r="S160" s="184"/>
      <c r="T160" s="184"/>
    </row>
    <row r="161" spans="1:20" ht="12.75">
      <c r="A161" s="176"/>
      <c r="B161" s="153"/>
      <c r="C161" s="153"/>
      <c r="D161" s="177"/>
      <c r="E161" s="153"/>
      <c r="F161" s="178"/>
      <c r="G161" s="179"/>
      <c r="H161" s="180"/>
      <c r="I161" s="180"/>
      <c r="J161" s="181"/>
      <c r="K161" s="182"/>
      <c r="L161" s="177"/>
      <c r="M161" s="183"/>
      <c r="N161" s="184"/>
      <c r="O161" s="185"/>
      <c r="P161" s="184"/>
      <c r="Q161" s="184"/>
      <c r="R161" s="184"/>
      <c r="S161" s="184"/>
      <c r="T161" s="184"/>
    </row>
    <row r="162" spans="1:20" ht="12.75">
      <c r="A162" s="176"/>
      <c r="B162" s="153"/>
      <c r="C162" s="153"/>
      <c r="D162" s="177"/>
      <c r="E162" s="153"/>
      <c r="F162" s="178"/>
      <c r="G162" s="179"/>
      <c r="H162" s="180"/>
      <c r="I162" s="180"/>
      <c r="J162" s="181"/>
      <c r="K162" s="182"/>
      <c r="L162" s="177"/>
      <c r="M162" s="183"/>
      <c r="N162" s="184"/>
      <c r="O162" s="185"/>
      <c r="P162" s="184"/>
      <c r="Q162" s="184"/>
      <c r="R162" s="184"/>
      <c r="S162" s="184"/>
      <c r="T162" s="184"/>
    </row>
    <row r="163" spans="1:20" ht="12.75">
      <c r="A163" s="176"/>
      <c r="B163" s="153"/>
      <c r="C163" s="153"/>
      <c r="D163" s="177"/>
      <c r="E163" s="153"/>
      <c r="F163" s="178"/>
      <c r="G163" s="179"/>
      <c r="H163" s="180"/>
      <c r="I163" s="180"/>
      <c r="J163" s="181"/>
      <c r="K163" s="182"/>
      <c r="L163" s="177"/>
      <c r="M163" s="183"/>
      <c r="N163" s="184"/>
      <c r="O163" s="185"/>
      <c r="P163" s="184"/>
      <c r="Q163" s="184"/>
      <c r="R163" s="184"/>
      <c r="S163" s="184"/>
      <c r="T163" s="184"/>
    </row>
    <row r="164" spans="1:20" ht="12.75">
      <c r="A164" s="176"/>
      <c r="B164" s="153"/>
      <c r="C164" s="153"/>
      <c r="D164" s="177"/>
      <c r="E164" s="153"/>
      <c r="F164" s="178"/>
      <c r="G164" s="179"/>
      <c r="H164" s="180"/>
      <c r="I164" s="180"/>
      <c r="J164" s="181"/>
      <c r="K164" s="182"/>
      <c r="L164" s="177"/>
      <c r="M164" s="183"/>
      <c r="N164" s="184"/>
      <c r="O164" s="185"/>
      <c r="P164" s="184"/>
      <c r="Q164" s="184"/>
      <c r="R164" s="184"/>
      <c r="S164" s="184"/>
      <c r="T164" s="184"/>
    </row>
    <row r="165" spans="1:20" ht="12.75">
      <c r="A165" s="176"/>
      <c r="B165" s="153"/>
      <c r="C165" s="153"/>
      <c r="D165" s="177"/>
      <c r="E165" s="153"/>
      <c r="F165" s="178"/>
      <c r="G165" s="179"/>
      <c r="H165" s="180"/>
      <c r="I165" s="180"/>
      <c r="J165" s="181"/>
      <c r="K165" s="182"/>
      <c r="L165" s="177"/>
      <c r="M165" s="183"/>
      <c r="N165" s="184"/>
      <c r="O165" s="185"/>
      <c r="P165" s="184"/>
      <c r="Q165" s="184"/>
      <c r="R165" s="184"/>
      <c r="S165" s="184"/>
      <c r="T165" s="184"/>
    </row>
    <row r="166" spans="1:20" ht="12.75">
      <c r="A166" s="176"/>
      <c r="B166" s="153"/>
      <c r="C166" s="153"/>
      <c r="D166" s="177"/>
      <c r="E166" s="153"/>
      <c r="F166" s="178"/>
      <c r="G166" s="179"/>
      <c r="H166" s="180"/>
      <c r="I166" s="180"/>
      <c r="J166" s="181"/>
      <c r="K166" s="182"/>
      <c r="L166" s="177"/>
      <c r="M166" s="183"/>
      <c r="N166" s="184"/>
      <c r="O166" s="185"/>
      <c r="P166" s="184"/>
      <c r="Q166" s="184"/>
      <c r="R166" s="184"/>
      <c r="S166" s="184"/>
      <c r="T166" s="184"/>
    </row>
    <row r="167" spans="1:20" ht="12.75">
      <c r="A167" s="176"/>
      <c r="B167" s="153"/>
      <c r="C167" s="153"/>
      <c r="D167" s="177"/>
      <c r="E167" s="153"/>
      <c r="F167" s="178"/>
      <c r="G167" s="179"/>
      <c r="H167" s="180"/>
      <c r="I167" s="180"/>
      <c r="J167" s="181"/>
      <c r="K167" s="182"/>
      <c r="L167" s="177"/>
      <c r="M167" s="183"/>
      <c r="N167" s="184"/>
      <c r="O167" s="185"/>
      <c r="P167" s="184"/>
      <c r="Q167" s="184"/>
      <c r="R167" s="184"/>
      <c r="S167" s="184"/>
      <c r="T167" s="184"/>
    </row>
    <row r="168" spans="1:20" ht="12.75">
      <c r="A168" s="176"/>
      <c r="B168" s="153"/>
      <c r="C168" s="153"/>
      <c r="D168" s="177"/>
      <c r="E168" s="153"/>
      <c r="F168" s="178"/>
      <c r="G168" s="179"/>
      <c r="H168" s="180"/>
      <c r="I168" s="180"/>
      <c r="J168" s="181"/>
      <c r="K168" s="182"/>
      <c r="L168" s="177"/>
      <c r="M168" s="183"/>
      <c r="N168" s="184"/>
      <c r="O168" s="185"/>
      <c r="P168" s="184"/>
      <c r="Q168" s="184"/>
      <c r="R168" s="184"/>
      <c r="S168" s="184"/>
      <c r="T168" s="184"/>
    </row>
    <row r="169" spans="1:20" ht="12.75">
      <c r="A169" s="176"/>
      <c r="B169" s="153"/>
      <c r="C169" s="153"/>
      <c r="D169" s="177"/>
      <c r="E169" s="153"/>
      <c r="F169" s="178"/>
      <c r="G169" s="179"/>
      <c r="H169" s="180"/>
      <c r="I169" s="180"/>
      <c r="J169" s="181"/>
      <c r="K169" s="182"/>
      <c r="L169" s="177"/>
      <c r="M169" s="183"/>
      <c r="N169" s="184"/>
      <c r="O169" s="185"/>
      <c r="P169" s="184"/>
      <c r="Q169" s="184"/>
      <c r="R169" s="184"/>
      <c r="S169" s="184"/>
      <c r="T169" s="184"/>
    </row>
    <row r="170" spans="1:20" ht="12.75">
      <c r="A170" s="176"/>
      <c r="B170" s="153"/>
      <c r="C170" s="153"/>
      <c r="D170" s="177"/>
      <c r="E170" s="153"/>
      <c r="F170" s="178"/>
      <c r="G170" s="179"/>
      <c r="H170" s="180"/>
      <c r="I170" s="180"/>
      <c r="J170" s="181"/>
      <c r="K170" s="182"/>
      <c r="L170" s="177"/>
      <c r="M170" s="183"/>
      <c r="N170" s="184"/>
      <c r="O170" s="185"/>
      <c r="P170" s="184"/>
      <c r="Q170" s="184"/>
      <c r="R170" s="184"/>
      <c r="S170" s="184"/>
      <c r="T170" s="184"/>
    </row>
    <row r="171" spans="1:20" ht="12.75">
      <c r="A171" s="176"/>
      <c r="B171" s="153"/>
      <c r="C171" s="153"/>
      <c r="D171" s="177"/>
      <c r="E171" s="153"/>
      <c r="F171" s="178"/>
      <c r="G171" s="179"/>
      <c r="H171" s="180"/>
      <c r="I171" s="180"/>
      <c r="J171" s="181"/>
      <c r="K171" s="182"/>
      <c r="L171" s="177"/>
      <c r="M171" s="183"/>
      <c r="N171" s="184"/>
      <c r="O171" s="185"/>
      <c r="P171" s="184"/>
      <c r="Q171" s="184"/>
      <c r="R171" s="184"/>
      <c r="S171" s="184"/>
      <c r="T171" s="184"/>
    </row>
    <row r="172" spans="1:20" ht="12.75">
      <c r="A172" s="176"/>
      <c r="B172" s="153"/>
      <c r="C172" s="153"/>
      <c r="D172" s="177"/>
      <c r="E172" s="153"/>
      <c r="F172" s="178"/>
      <c r="G172" s="179"/>
      <c r="H172" s="180"/>
      <c r="I172" s="180"/>
      <c r="J172" s="181"/>
      <c r="K172" s="182"/>
      <c r="L172" s="177"/>
      <c r="M172" s="183"/>
      <c r="N172" s="184"/>
      <c r="O172" s="185"/>
      <c r="P172" s="184"/>
      <c r="Q172" s="184"/>
      <c r="R172" s="184"/>
      <c r="S172" s="184"/>
      <c r="T172" s="184"/>
    </row>
    <row r="173" spans="1:20" ht="12.75">
      <c r="A173" s="176"/>
      <c r="B173" s="153"/>
      <c r="C173" s="153"/>
      <c r="D173" s="177"/>
      <c r="E173" s="153"/>
      <c r="F173" s="178"/>
      <c r="G173" s="179"/>
      <c r="H173" s="180"/>
      <c r="I173" s="180"/>
      <c r="J173" s="181"/>
      <c r="K173" s="182"/>
      <c r="L173" s="177"/>
      <c r="M173" s="183"/>
      <c r="N173" s="184"/>
      <c r="O173" s="185"/>
      <c r="P173" s="184"/>
      <c r="Q173" s="184"/>
      <c r="R173" s="184"/>
      <c r="S173" s="184"/>
      <c r="T173" s="184"/>
    </row>
    <row r="174" spans="1:20" ht="12.75">
      <c r="A174" s="176"/>
      <c r="B174" s="153"/>
      <c r="C174" s="153"/>
      <c r="D174" s="177"/>
      <c r="E174" s="153"/>
      <c r="F174" s="178"/>
      <c r="G174" s="179"/>
      <c r="H174" s="180"/>
      <c r="I174" s="180"/>
      <c r="J174" s="181"/>
      <c r="K174" s="182"/>
      <c r="L174" s="177"/>
      <c r="M174" s="183"/>
      <c r="N174" s="184"/>
      <c r="O174" s="185"/>
      <c r="P174" s="184"/>
      <c r="Q174" s="184"/>
      <c r="R174" s="184"/>
      <c r="S174" s="184"/>
      <c r="T174" s="184"/>
    </row>
    <row r="175" spans="1:20" ht="12.75">
      <c r="A175" s="176"/>
      <c r="B175" s="153"/>
      <c r="C175" s="153"/>
      <c r="D175" s="177"/>
      <c r="E175" s="153"/>
      <c r="F175" s="178"/>
      <c r="G175" s="179"/>
      <c r="H175" s="180"/>
      <c r="I175" s="180"/>
      <c r="J175" s="181"/>
      <c r="K175" s="182"/>
      <c r="L175" s="177"/>
      <c r="M175" s="183"/>
      <c r="N175" s="184"/>
      <c r="O175" s="185"/>
      <c r="P175" s="184"/>
      <c r="Q175" s="184"/>
      <c r="R175" s="184"/>
      <c r="S175" s="184"/>
      <c r="T175" s="184"/>
    </row>
    <row r="176" spans="1:20" ht="12.75">
      <c r="A176" s="176"/>
      <c r="B176" s="153"/>
      <c r="C176" s="153"/>
      <c r="D176" s="177"/>
      <c r="E176" s="153"/>
      <c r="F176" s="178"/>
      <c r="G176" s="179"/>
      <c r="H176" s="180"/>
      <c r="I176" s="180"/>
      <c r="J176" s="181"/>
      <c r="K176" s="182"/>
      <c r="L176" s="177"/>
      <c r="M176" s="183"/>
      <c r="N176" s="184"/>
      <c r="O176" s="185"/>
      <c r="P176" s="184"/>
      <c r="Q176" s="184"/>
      <c r="R176" s="184"/>
      <c r="S176" s="184"/>
      <c r="T176" s="184"/>
    </row>
    <row r="177" spans="1:20" ht="12.75">
      <c r="A177" s="176"/>
      <c r="B177" s="153"/>
      <c r="C177" s="153"/>
      <c r="D177" s="177"/>
      <c r="E177" s="153"/>
      <c r="F177" s="178"/>
      <c r="G177" s="179"/>
      <c r="H177" s="180"/>
      <c r="I177" s="180"/>
      <c r="J177" s="181"/>
      <c r="K177" s="182"/>
      <c r="L177" s="177"/>
      <c r="M177" s="183"/>
      <c r="N177" s="184"/>
      <c r="O177" s="185"/>
      <c r="P177" s="184"/>
      <c r="Q177" s="184"/>
      <c r="R177" s="184"/>
      <c r="S177" s="184"/>
      <c r="T177" s="184"/>
    </row>
    <row r="178" spans="1:20" ht="12.75">
      <c r="A178" s="176"/>
      <c r="B178" s="153"/>
      <c r="C178" s="153"/>
      <c r="D178" s="177"/>
      <c r="E178" s="153"/>
      <c r="F178" s="178"/>
      <c r="G178" s="179"/>
      <c r="H178" s="180"/>
      <c r="I178" s="180"/>
      <c r="J178" s="181"/>
      <c r="K178" s="182"/>
      <c r="L178" s="177"/>
      <c r="M178" s="183"/>
      <c r="N178" s="184"/>
      <c r="O178" s="185"/>
      <c r="P178" s="184"/>
      <c r="Q178" s="184"/>
      <c r="R178" s="184"/>
      <c r="S178" s="184"/>
      <c r="T178" s="184"/>
    </row>
    <row r="179" spans="1:20" ht="12.75">
      <c r="A179" s="176"/>
      <c r="B179" s="153"/>
      <c r="C179" s="153"/>
      <c r="D179" s="177"/>
      <c r="E179" s="153"/>
      <c r="F179" s="178"/>
      <c r="G179" s="179"/>
      <c r="H179" s="180"/>
      <c r="I179" s="180"/>
      <c r="J179" s="181"/>
      <c r="K179" s="182"/>
      <c r="L179" s="177"/>
      <c r="M179" s="183"/>
      <c r="N179" s="184"/>
      <c r="O179" s="185"/>
      <c r="P179" s="184"/>
      <c r="Q179" s="184"/>
      <c r="R179" s="184"/>
      <c r="S179" s="184"/>
      <c r="T179" s="184"/>
    </row>
    <row r="180" spans="1:20" ht="12.75">
      <c r="A180" s="176"/>
      <c r="B180" s="153"/>
      <c r="C180" s="153"/>
      <c r="D180" s="177"/>
      <c r="E180" s="153"/>
      <c r="F180" s="178"/>
      <c r="G180" s="179"/>
      <c r="H180" s="180"/>
      <c r="I180" s="180"/>
      <c r="J180" s="181"/>
      <c r="K180" s="182"/>
      <c r="L180" s="177"/>
      <c r="M180" s="183"/>
      <c r="N180" s="184"/>
      <c r="O180" s="185"/>
      <c r="P180" s="184"/>
      <c r="Q180" s="184"/>
      <c r="R180" s="184"/>
      <c r="S180" s="184"/>
      <c r="T180" s="184"/>
    </row>
    <row r="181" spans="1:20" ht="12.75">
      <c r="A181" s="176"/>
      <c r="B181" s="153"/>
      <c r="C181" s="153"/>
      <c r="D181" s="177"/>
      <c r="E181" s="153"/>
      <c r="F181" s="178"/>
      <c r="G181" s="179"/>
      <c r="H181" s="180"/>
      <c r="I181" s="180"/>
      <c r="J181" s="181"/>
      <c r="K181" s="182"/>
      <c r="L181" s="177"/>
      <c r="M181" s="183"/>
      <c r="N181" s="184"/>
      <c r="O181" s="185"/>
      <c r="P181" s="184"/>
      <c r="Q181" s="184"/>
      <c r="R181" s="184"/>
      <c r="S181" s="184"/>
      <c r="T181" s="184"/>
    </row>
    <row r="182" spans="1:20" ht="12.75">
      <c r="A182" s="176"/>
      <c r="B182" s="153"/>
      <c r="C182" s="153"/>
      <c r="D182" s="177"/>
      <c r="E182" s="153"/>
      <c r="F182" s="178"/>
      <c r="G182" s="179"/>
      <c r="H182" s="180"/>
      <c r="I182" s="180"/>
      <c r="J182" s="181"/>
      <c r="K182" s="182"/>
      <c r="L182" s="177"/>
      <c r="M182" s="183"/>
      <c r="N182" s="184"/>
      <c r="O182" s="185"/>
      <c r="P182" s="184"/>
      <c r="Q182" s="184"/>
      <c r="R182" s="184"/>
      <c r="S182" s="184"/>
      <c r="T182" s="184"/>
    </row>
    <row r="183" spans="1:20" ht="12.75">
      <c r="A183" s="176"/>
      <c r="B183" s="153"/>
      <c r="C183" s="153"/>
      <c r="D183" s="177"/>
      <c r="E183" s="153"/>
      <c r="F183" s="178"/>
      <c r="G183" s="179"/>
      <c r="H183" s="180"/>
      <c r="I183" s="180"/>
      <c r="J183" s="181"/>
      <c r="K183" s="182"/>
      <c r="L183" s="177"/>
      <c r="M183" s="183"/>
      <c r="N183" s="184"/>
      <c r="O183" s="185"/>
      <c r="P183" s="184"/>
      <c r="Q183" s="184"/>
      <c r="R183" s="184"/>
      <c r="S183" s="184"/>
      <c r="T183" s="184"/>
    </row>
    <row r="184" spans="1:20" ht="12.75">
      <c r="A184" s="176"/>
      <c r="B184" s="153"/>
      <c r="C184" s="153"/>
      <c r="D184" s="177"/>
      <c r="E184" s="153"/>
      <c r="F184" s="178"/>
      <c r="G184" s="179"/>
      <c r="H184" s="180"/>
      <c r="I184" s="180"/>
      <c r="J184" s="181"/>
      <c r="K184" s="182"/>
      <c r="L184" s="177"/>
      <c r="M184" s="183"/>
      <c r="N184" s="184"/>
      <c r="O184" s="185"/>
      <c r="P184" s="184"/>
      <c r="Q184" s="184"/>
      <c r="R184" s="184"/>
      <c r="S184" s="184"/>
      <c r="T184" s="184"/>
    </row>
    <row r="185" spans="1:20" ht="12.75">
      <c r="A185" s="176"/>
      <c r="B185" s="153"/>
      <c r="C185" s="153"/>
      <c r="D185" s="177"/>
      <c r="E185" s="153"/>
      <c r="F185" s="178"/>
      <c r="G185" s="179"/>
      <c r="H185" s="180"/>
      <c r="I185" s="180"/>
      <c r="J185" s="181"/>
      <c r="K185" s="182"/>
      <c r="L185" s="177"/>
      <c r="M185" s="183"/>
      <c r="N185" s="184"/>
      <c r="O185" s="185"/>
      <c r="P185" s="184"/>
      <c r="Q185" s="184"/>
      <c r="R185" s="184"/>
      <c r="S185" s="184"/>
      <c r="T185" s="184"/>
    </row>
    <row r="186" spans="1:20" ht="12.75">
      <c r="A186" s="176"/>
      <c r="B186" s="153"/>
      <c r="C186" s="153"/>
      <c r="D186" s="177"/>
      <c r="E186" s="153"/>
      <c r="F186" s="178"/>
      <c r="G186" s="179"/>
      <c r="H186" s="180"/>
      <c r="I186" s="180"/>
      <c r="J186" s="181"/>
      <c r="K186" s="182"/>
      <c r="L186" s="177"/>
      <c r="M186" s="183"/>
      <c r="N186" s="184"/>
      <c r="O186" s="185"/>
      <c r="P186" s="184"/>
      <c r="Q186" s="184"/>
      <c r="R186" s="184"/>
      <c r="S186" s="184"/>
      <c r="T186" s="184"/>
    </row>
    <row r="187" spans="1:20" ht="12.75">
      <c r="A187" s="176"/>
      <c r="B187" s="153"/>
      <c r="C187" s="153"/>
      <c r="D187" s="177"/>
      <c r="E187" s="153"/>
      <c r="F187" s="178"/>
      <c r="G187" s="179"/>
      <c r="H187" s="180"/>
      <c r="I187" s="180"/>
      <c r="J187" s="181"/>
      <c r="K187" s="182"/>
      <c r="L187" s="177"/>
      <c r="M187" s="183"/>
      <c r="N187" s="184"/>
      <c r="O187" s="185"/>
      <c r="P187" s="184"/>
      <c r="Q187" s="184"/>
      <c r="R187" s="184"/>
      <c r="S187" s="184"/>
      <c r="T187" s="184"/>
    </row>
    <row r="188" spans="1:20" ht="12.75">
      <c r="A188" s="176"/>
      <c r="B188" s="153"/>
      <c r="C188" s="153"/>
      <c r="D188" s="177"/>
      <c r="E188" s="153"/>
      <c r="F188" s="178"/>
      <c r="G188" s="179"/>
      <c r="H188" s="180"/>
      <c r="I188" s="180"/>
      <c r="J188" s="181"/>
      <c r="K188" s="182"/>
      <c r="L188" s="177"/>
      <c r="M188" s="183"/>
      <c r="N188" s="184"/>
      <c r="O188" s="185"/>
      <c r="P188" s="184"/>
      <c r="Q188" s="184"/>
      <c r="R188" s="184"/>
      <c r="S188" s="184"/>
      <c r="T188" s="184"/>
    </row>
    <row r="189" spans="1:20" ht="12.75">
      <c r="A189" s="176"/>
      <c r="B189" s="153"/>
      <c r="C189" s="153"/>
      <c r="D189" s="177"/>
      <c r="E189" s="153"/>
      <c r="F189" s="178"/>
      <c r="G189" s="179"/>
      <c r="H189" s="180"/>
      <c r="I189" s="180"/>
      <c r="J189" s="181"/>
      <c r="K189" s="182"/>
      <c r="L189" s="177"/>
      <c r="M189" s="183"/>
      <c r="N189" s="184"/>
      <c r="O189" s="185"/>
      <c r="P189" s="184"/>
      <c r="Q189" s="184"/>
      <c r="R189" s="184"/>
      <c r="S189" s="184"/>
      <c r="T189" s="184"/>
    </row>
    <row r="190" spans="1:20" ht="12.75">
      <c r="A190" s="176"/>
      <c r="B190" s="153"/>
      <c r="C190" s="153"/>
      <c r="D190" s="177"/>
      <c r="E190" s="153"/>
      <c r="F190" s="178"/>
      <c r="G190" s="179"/>
      <c r="H190" s="180"/>
      <c r="I190" s="180"/>
      <c r="J190" s="181"/>
      <c r="K190" s="182"/>
      <c r="L190" s="177"/>
      <c r="M190" s="183"/>
      <c r="N190" s="184"/>
      <c r="O190" s="185"/>
      <c r="P190" s="184"/>
      <c r="Q190" s="184"/>
      <c r="R190" s="184"/>
      <c r="S190" s="184"/>
      <c r="T190" s="184"/>
    </row>
    <row r="191" spans="1:20" ht="12.75">
      <c r="A191" s="176"/>
      <c r="B191" s="153"/>
      <c r="C191" s="153"/>
      <c r="D191" s="177"/>
      <c r="E191" s="153"/>
      <c r="F191" s="178"/>
      <c r="G191" s="179"/>
      <c r="H191" s="180"/>
      <c r="I191" s="180"/>
      <c r="J191" s="181"/>
      <c r="K191" s="182"/>
      <c r="L191" s="177"/>
      <c r="M191" s="183"/>
      <c r="N191" s="184"/>
      <c r="O191" s="185"/>
      <c r="P191" s="184"/>
      <c r="Q191" s="184"/>
      <c r="R191" s="184"/>
      <c r="S191" s="184"/>
      <c r="T191" s="184"/>
    </row>
    <row r="192" spans="1:20" ht="12.75">
      <c r="A192" s="176"/>
      <c r="B192" s="153"/>
      <c r="C192" s="153"/>
      <c r="D192" s="177"/>
      <c r="E192" s="153"/>
      <c r="F192" s="178"/>
      <c r="G192" s="179"/>
      <c r="H192" s="180"/>
      <c r="I192" s="180"/>
      <c r="J192" s="181"/>
      <c r="K192" s="182"/>
      <c r="L192" s="177"/>
      <c r="M192" s="183"/>
      <c r="N192" s="184"/>
      <c r="O192" s="185"/>
      <c r="P192" s="184"/>
      <c r="Q192" s="184"/>
      <c r="R192" s="184"/>
      <c r="S192" s="184"/>
      <c r="T192" s="184"/>
    </row>
    <row r="193" spans="1:20" ht="12.75">
      <c r="A193" s="176"/>
      <c r="B193" s="153"/>
      <c r="C193" s="153"/>
      <c r="D193" s="177"/>
      <c r="E193" s="153"/>
      <c r="F193" s="178"/>
      <c r="G193" s="179"/>
      <c r="H193" s="180"/>
      <c r="I193" s="180"/>
      <c r="J193" s="181"/>
      <c r="K193" s="182"/>
      <c r="L193" s="177"/>
      <c r="M193" s="183"/>
      <c r="N193" s="184"/>
      <c r="O193" s="185"/>
      <c r="P193" s="184"/>
      <c r="Q193" s="184"/>
      <c r="R193" s="184"/>
      <c r="S193" s="184"/>
      <c r="T193" s="184"/>
    </row>
    <row r="194" spans="1:20" ht="12.75">
      <c r="A194" s="176"/>
      <c r="B194" s="153"/>
      <c r="C194" s="153"/>
      <c r="D194" s="177"/>
      <c r="E194" s="153"/>
      <c r="F194" s="178"/>
      <c r="G194" s="179"/>
      <c r="H194" s="180"/>
      <c r="I194" s="180"/>
      <c r="J194" s="181"/>
      <c r="K194" s="182"/>
      <c r="L194" s="177"/>
      <c r="M194" s="183"/>
      <c r="N194" s="184"/>
      <c r="O194" s="185"/>
      <c r="P194" s="184"/>
      <c r="Q194" s="184"/>
      <c r="R194" s="184"/>
      <c r="S194" s="184"/>
      <c r="T194" s="184"/>
    </row>
    <row r="195" spans="1:20" ht="12.75">
      <c r="A195" s="176"/>
      <c r="B195" s="153"/>
      <c r="C195" s="153"/>
      <c r="D195" s="177"/>
      <c r="E195" s="153"/>
      <c r="F195" s="178"/>
      <c r="G195" s="179"/>
      <c r="H195" s="180"/>
      <c r="I195" s="180"/>
      <c r="J195" s="181"/>
      <c r="K195" s="182"/>
      <c r="L195" s="177"/>
      <c r="M195" s="183"/>
      <c r="N195" s="184"/>
      <c r="O195" s="185"/>
      <c r="P195" s="184"/>
      <c r="Q195" s="184"/>
      <c r="R195" s="184"/>
      <c r="S195" s="184"/>
      <c r="T195" s="184"/>
    </row>
    <row r="196" spans="1:20" ht="12.75">
      <c r="A196" s="176"/>
      <c r="B196" s="153"/>
      <c r="C196" s="153"/>
      <c r="D196" s="177"/>
      <c r="E196" s="153"/>
      <c r="F196" s="178"/>
      <c r="G196" s="179"/>
      <c r="H196" s="180"/>
      <c r="I196" s="180"/>
      <c r="J196" s="181"/>
      <c r="K196" s="182"/>
      <c r="L196" s="177"/>
      <c r="M196" s="183"/>
      <c r="N196" s="184"/>
      <c r="O196" s="185"/>
      <c r="P196" s="184"/>
      <c r="Q196" s="184"/>
      <c r="R196" s="184"/>
      <c r="S196" s="184"/>
      <c r="T196" s="184"/>
    </row>
    <row r="197" spans="1:20" ht="12.75">
      <c r="A197" s="176"/>
      <c r="B197" s="153"/>
      <c r="C197" s="153"/>
      <c r="D197" s="177"/>
      <c r="E197" s="153"/>
      <c r="F197" s="178"/>
      <c r="G197" s="179"/>
      <c r="H197" s="180"/>
      <c r="I197" s="180"/>
      <c r="J197" s="181"/>
      <c r="K197" s="182"/>
      <c r="L197" s="177"/>
      <c r="M197" s="183"/>
      <c r="N197" s="184"/>
      <c r="O197" s="185"/>
      <c r="P197" s="184"/>
      <c r="Q197" s="184"/>
      <c r="R197" s="184"/>
      <c r="S197" s="184"/>
      <c r="T197" s="184"/>
    </row>
    <row r="198" spans="1:20" ht="12.75">
      <c r="A198" s="176"/>
      <c r="B198" s="153"/>
      <c r="C198" s="153"/>
      <c r="D198" s="177"/>
      <c r="E198" s="153"/>
      <c r="F198" s="178"/>
      <c r="G198" s="179"/>
      <c r="H198" s="180"/>
      <c r="I198" s="180"/>
      <c r="J198" s="181"/>
      <c r="K198" s="182"/>
      <c r="L198" s="177"/>
      <c r="M198" s="183"/>
      <c r="N198" s="184"/>
      <c r="O198" s="185"/>
      <c r="P198" s="184"/>
      <c r="Q198" s="184"/>
      <c r="R198" s="184"/>
      <c r="S198" s="184"/>
      <c r="T198" s="184"/>
    </row>
    <row r="199" spans="1:20" ht="12.75">
      <c r="A199" s="176"/>
      <c r="B199" s="153"/>
      <c r="C199" s="153"/>
      <c r="D199" s="177"/>
      <c r="E199" s="153"/>
      <c r="F199" s="178"/>
      <c r="G199" s="179"/>
      <c r="H199" s="180"/>
      <c r="I199" s="180"/>
      <c r="J199" s="181"/>
      <c r="K199" s="182"/>
      <c r="L199" s="177"/>
      <c r="M199" s="183"/>
      <c r="N199" s="184"/>
      <c r="O199" s="185"/>
      <c r="P199" s="184"/>
      <c r="Q199" s="184"/>
      <c r="R199" s="184"/>
      <c r="S199" s="184"/>
      <c r="T199" s="184"/>
    </row>
    <row r="200" spans="1:20" ht="12.75">
      <c r="A200" s="176"/>
      <c r="B200" s="153"/>
      <c r="C200" s="153"/>
      <c r="D200" s="177"/>
      <c r="E200" s="153"/>
      <c r="F200" s="178"/>
      <c r="G200" s="179"/>
      <c r="H200" s="180"/>
      <c r="I200" s="180"/>
      <c r="J200" s="181"/>
      <c r="K200" s="182"/>
      <c r="L200" s="177"/>
      <c r="M200" s="183"/>
      <c r="N200" s="184"/>
      <c r="O200" s="185"/>
      <c r="P200" s="184"/>
      <c r="Q200" s="184"/>
      <c r="R200" s="184"/>
      <c r="S200" s="184"/>
      <c r="T200" s="184"/>
    </row>
    <row r="201" spans="1:20" ht="12.75">
      <c r="A201" s="176"/>
      <c r="B201" s="153"/>
      <c r="C201" s="153"/>
      <c r="D201" s="177"/>
      <c r="E201" s="153"/>
      <c r="F201" s="178"/>
      <c r="G201" s="179"/>
      <c r="H201" s="180"/>
      <c r="I201" s="180"/>
      <c r="J201" s="181"/>
      <c r="K201" s="182"/>
      <c r="L201" s="177"/>
      <c r="M201" s="183"/>
      <c r="N201" s="184"/>
      <c r="O201" s="185"/>
      <c r="P201" s="184"/>
      <c r="Q201" s="184"/>
      <c r="R201" s="184"/>
      <c r="S201" s="184"/>
      <c r="T201" s="184"/>
    </row>
    <row r="202" spans="1:20" ht="12.75">
      <c r="A202" s="176"/>
      <c r="B202" s="153"/>
      <c r="C202" s="153"/>
      <c r="D202" s="177"/>
      <c r="E202" s="153"/>
      <c r="F202" s="178"/>
      <c r="G202" s="179"/>
      <c r="H202" s="180"/>
      <c r="I202" s="180"/>
      <c r="J202" s="181"/>
      <c r="K202" s="182"/>
      <c r="L202" s="177"/>
      <c r="M202" s="183"/>
      <c r="N202" s="184"/>
      <c r="O202" s="185"/>
      <c r="P202" s="184"/>
      <c r="Q202" s="184"/>
      <c r="R202" s="184"/>
      <c r="S202" s="184"/>
      <c r="T202" s="184"/>
    </row>
    <row r="203" spans="1:20" ht="12.75">
      <c r="A203" s="176"/>
      <c r="B203" s="153"/>
      <c r="C203" s="153"/>
      <c r="D203" s="177"/>
      <c r="E203" s="153"/>
      <c r="F203" s="178"/>
      <c r="G203" s="179"/>
      <c r="H203" s="180"/>
      <c r="I203" s="180"/>
      <c r="J203" s="181"/>
      <c r="K203" s="182"/>
      <c r="L203" s="177"/>
      <c r="M203" s="183"/>
      <c r="N203" s="184"/>
      <c r="O203" s="185"/>
      <c r="P203" s="184"/>
      <c r="Q203" s="184"/>
      <c r="R203" s="184"/>
      <c r="S203" s="184"/>
      <c r="T203" s="184"/>
    </row>
    <row r="204" spans="1:20" ht="12.75">
      <c r="A204" s="176"/>
      <c r="B204" s="153"/>
      <c r="C204" s="153"/>
      <c r="D204" s="177"/>
      <c r="E204" s="153"/>
      <c r="F204" s="178"/>
      <c r="G204" s="179"/>
      <c r="H204" s="180"/>
      <c r="I204" s="180"/>
      <c r="J204" s="181"/>
      <c r="K204" s="182"/>
      <c r="L204" s="177"/>
      <c r="M204" s="183"/>
      <c r="N204" s="184"/>
      <c r="O204" s="185"/>
      <c r="P204" s="184"/>
      <c r="Q204" s="184"/>
      <c r="R204" s="184"/>
      <c r="S204" s="184"/>
      <c r="T204" s="184"/>
    </row>
    <row r="205" spans="1:20" ht="12.75">
      <c r="A205" s="176"/>
      <c r="B205" s="153"/>
      <c r="C205" s="153"/>
      <c r="D205" s="177"/>
      <c r="E205" s="153"/>
      <c r="F205" s="178"/>
      <c r="G205" s="179"/>
      <c r="H205" s="180"/>
      <c r="I205" s="180"/>
      <c r="J205" s="181"/>
      <c r="K205" s="182"/>
      <c r="L205" s="177"/>
      <c r="M205" s="183"/>
      <c r="N205" s="184"/>
      <c r="O205" s="185"/>
      <c r="P205" s="184"/>
      <c r="Q205" s="184"/>
      <c r="R205" s="184"/>
      <c r="S205" s="184"/>
      <c r="T205" s="184"/>
    </row>
    <row r="206" spans="1:20" ht="12.75">
      <c r="A206" s="176"/>
      <c r="B206" s="153"/>
      <c r="C206" s="153"/>
      <c r="D206" s="177"/>
      <c r="E206" s="153"/>
      <c r="F206" s="178"/>
      <c r="G206" s="179"/>
      <c r="H206" s="180"/>
      <c r="I206" s="180"/>
      <c r="J206" s="181"/>
      <c r="K206" s="182"/>
      <c r="L206" s="177"/>
      <c r="M206" s="183"/>
      <c r="N206" s="184"/>
      <c r="O206" s="185"/>
      <c r="P206" s="184"/>
      <c r="Q206" s="184"/>
      <c r="R206" s="184"/>
      <c r="S206" s="184"/>
      <c r="T206" s="184"/>
    </row>
    <row r="207" spans="1:20" ht="12.75">
      <c r="A207" s="176"/>
      <c r="B207" s="153"/>
      <c r="C207" s="153"/>
      <c r="D207" s="177"/>
      <c r="E207" s="153"/>
      <c r="F207" s="178"/>
      <c r="G207" s="179"/>
      <c r="H207" s="180"/>
      <c r="I207" s="180"/>
      <c r="J207" s="181"/>
      <c r="K207" s="182"/>
      <c r="L207" s="177"/>
      <c r="M207" s="183"/>
      <c r="N207" s="184"/>
      <c r="O207" s="185"/>
      <c r="P207" s="184"/>
      <c r="Q207" s="184"/>
      <c r="R207" s="184"/>
      <c r="S207" s="184"/>
      <c r="T207" s="184"/>
    </row>
    <row r="208" spans="1:20" ht="12.75">
      <c r="A208" s="176"/>
      <c r="B208" s="153"/>
      <c r="C208" s="153"/>
      <c r="D208" s="177"/>
      <c r="E208" s="153"/>
      <c r="F208" s="178"/>
      <c r="G208" s="179"/>
      <c r="H208" s="180"/>
      <c r="I208" s="180"/>
      <c r="J208" s="181"/>
      <c r="K208" s="182"/>
      <c r="L208" s="177"/>
      <c r="M208" s="183"/>
      <c r="N208" s="184"/>
      <c r="O208" s="185"/>
      <c r="P208" s="184"/>
      <c r="Q208" s="184"/>
      <c r="R208" s="184"/>
      <c r="S208" s="184"/>
      <c r="T208" s="184"/>
    </row>
    <row r="209" spans="1:20" ht="12.75">
      <c r="A209" s="176"/>
      <c r="B209" s="153"/>
      <c r="C209" s="153"/>
      <c r="D209" s="177"/>
      <c r="E209" s="153"/>
      <c r="F209" s="178"/>
      <c r="G209" s="179"/>
      <c r="H209" s="180"/>
      <c r="I209" s="180"/>
      <c r="J209" s="181"/>
      <c r="K209" s="182"/>
      <c r="L209" s="177"/>
      <c r="M209" s="183"/>
      <c r="N209" s="184"/>
      <c r="O209" s="185"/>
      <c r="P209" s="184"/>
      <c r="Q209" s="184"/>
      <c r="R209" s="184"/>
      <c r="S209" s="184"/>
      <c r="T209" s="184"/>
    </row>
    <row r="210" spans="1:20" ht="12.75">
      <c r="A210" s="176"/>
      <c r="B210" s="153"/>
      <c r="C210" s="153"/>
      <c r="D210" s="177"/>
      <c r="E210" s="153"/>
      <c r="F210" s="178"/>
      <c r="G210" s="179"/>
      <c r="H210" s="180"/>
      <c r="I210" s="180"/>
      <c r="J210" s="181"/>
      <c r="K210" s="182"/>
      <c r="L210" s="177"/>
      <c r="M210" s="183"/>
      <c r="N210" s="184"/>
      <c r="O210" s="185"/>
      <c r="P210" s="184"/>
      <c r="Q210" s="184"/>
      <c r="R210" s="184"/>
      <c r="S210" s="184"/>
      <c r="T210" s="184"/>
    </row>
    <row r="211" spans="1:20" ht="12.75">
      <c r="A211" s="176"/>
      <c r="B211" s="153"/>
      <c r="C211" s="153"/>
      <c r="D211" s="177"/>
      <c r="E211" s="153"/>
      <c r="F211" s="178"/>
      <c r="G211" s="179"/>
      <c r="H211" s="180"/>
      <c r="I211" s="180"/>
      <c r="J211" s="181"/>
      <c r="K211" s="182"/>
      <c r="L211" s="177"/>
      <c r="M211" s="183"/>
      <c r="N211" s="184"/>
      <c r="O211" s="185"/>
      <c r="P211" s="184"/>
      <c r="Q211" s="184"/>
      <c r="R211" s="184"/>
      <c r="S211" s="184"/>
      <c r="T211" s="184"/>
    </row>
    <row r="212" spans="1:20" ht="12.75">
      <c r="A212" s="176"/>
      <c r="B212" s="153"/>
      <c r="C212" s="153"/>
      <c r="D212" s="177"/>
      <c r="E212" s="153"/>
      <c r="F212" s="178"/>
      <c r="G212" s="179"/>
      <c r="H212" s="180"/>
      <c r="I212" s="180"/>
      <c r="J212" s="181"/>
      <c r="K212" s="182"/>
      <c r="L212" s="177"/>
      <c r="M212" s="183"/>
      <c r="N212" s="184"/>
      <c r="O212" s="185"/>
      <c r="P212" s="184"/>
      <c r="Q212" s="184"/>
      <c r="R212" s="184"/>
      <c r="S212" s="184"/>
      <c r="T212" s="184"/>
    </row>
    <row r="213" spans="1:20" ht="12.75">
      <c r="A213" s="176"/>
      <c r="B213" s="153"/>
      <c r="C213" s="153"/>
      <c r="D213" s="177"/>
      <c r="E213" s="153"/>
      <c r="F213" s="178"/>
      <c r="G213" s="179"/>
      <c r="H213" s="180"/>
      <c r="I213" s="180"/>
      <c r="J213" s="181"/>
      <c r="K213" s="182"/>
      <c r="L213" s="177"/>
      <c r="M213" s="183"/>
      <c r="N213" s="184"/>
      <c r="O213" s="185"/>
      <c r="P213" s="184"/>
      <c r="Q213" s="184"/>
      <c r="R213" s="184"/>
      <c r="S213" s="184"/>
      <c r="T213" s="184"/>
    </row>
    <row r="214" spans="1:20" ht="12.75">
      <c r="A214" s="176"/>
      <c r="B214" s="153"/>
      <c r="C214" s="153"/>
      <c r="D214" s="177"/>
      <c r="E214" s="153"/>
      <c r="F214" s="178"/>
      <c r="G214" s="179"/>
      <c r="H214" s="180"/>
      <c r="I214" s="180"/>
      <c r="J214" s="181"/>
      <c r="K214" s="182"/>
      <c r="L214" s="177"/>
      <c r="M214" s="183"/>
      <c r="N214" s="184"/>
      <c r="O214" s="185"/>
      <c r="P214" s="184"/>
      <c r="Q214" s="184"/>
      <c r="R214" s="184"/>
      <c r="S214" s="184"/>
      <c r="T214" s="184"/>
    </row>
    <row r="215" spans="1:20" ht="12.75">
      <c r="A215" s="176"/>
      <c r="B215" s="153"/>
      <c r="C215" s="153"/>
      <c r="D215" s="177"/>
      <c r="E215" s="153"/>
      <c r="F215" s="178"/>
      <c r="G215" s="179"/>
      <c r="H215" s="180"/>
      <c r="I215" s="180"/>
      <c r="J215" s="181"/>
      <c r="K215" s="182"/>
      <c r="L215" s="177"/>
      <c r="M215" s="183"/>
      <c r="N215" s="184"/>
      <c r="O215" s="185"/>
      <c r="P215" s="184"/>
      <c r="Q215" s="184"/>
      <c r="R215" s="184"/>
      <c r="S215" s="184"/>
      <c r="T215" s="184"/>
    </row>
    <row r="216" spans="1:20" ht="12.75">
      <c r="A216" s="176"/>
      <c r="B216" s="153"/>
      <c r="C216" s="153"/>
      <c r="D216" s="177"/>
      <c r="E216" s="153"/>
      <c r="F216" s="178"/>
      <c r="G216" s="179"/>
      <c r="H216" s="180"/>
      <c r="I216" s="180"/>
      <c r="J216" s="181"/>
      <c r="K216" s="182"/>
      <c r="L216" s="177"/>
      <c r="M216" s="183"/>
      <c r="N216" s="184"/>
      <c r="O216" s="185"/>
      <c r="P216" s="184"/>
      <c r="Q216" s="184"/>
      <c r="R216" s="184"/>
      <c r="S216" s="184"/>
      <c r="T216" s="184"/>
    </row>
    <row r="217" spans="1:20" ht="12.75">
      <c r="A217" s="176"/>
      <c r="B217" s="153"/>
      <c r="C217" s="153"/>
      <c r="D217" s="177"/>
      <c r="E217" s="153"/>
      <c r="F217" s="178"/>
      <c r="G217" s="179"/>
      <c r="H217" s="180"/>
      <c r="I217" s="180"/>
      <c r="J217" s="181"/>
      <c r="K217" s="182"/>
      <c r="L217" s="177"/>
      <c r="M217" s="183"/>
      <c r="N217" s="184"/>
      <c r="O217" s="185"/>
      <c r="P217" s="184"/>
      <c r="Q217" s="184"/>
      <c r="R217" s="184"/>
      <c r="S217" s="184"/>
      <c r="T217" s="184"/>
    </row>
    <row r="218" spans="1:20" ht="12.75">
      <c r="A218" s="176"/>
      <c r="B218" s="153"/>
      <c r="C218" s="153"/>
      <c r="D218" s="177"/>
      <c r="E218" s="153"/>
      <c r="F218" s="178"/>
      <c r="G218" s="179"/>
      <c r="H218" s="180"/>
      <c r="I218" s="180"/>
      <c r="J218" s="181"/>
      <c r="K218" s="182"/>
      <c r="L218" s="177"/>
      <c r="M218" s="183"/>
      <c r="N218" s="184"/>
      <c r="O218" s="185"/>
      <c r="P218" s="184"/>
      <c r="Q218" s="184"/>
      <c r="R218" s="184"/>
      <c r="S218" s="184"/>
      <c r="T218" s="184"/>
    </row>
    <row r="219" spans="1:20" ht="12.75">
      <c r="A219" s="176"/>
      <c r="B219" s="153"/>
      <c r="C219" s="153"/>
      <c r="D219" s="177"/>
      <c r="E219" s="153"/>
      <c r="F219" s="178"/>
      <c r="G219" s="179"/>
      <c r="H219" s="180"/>
      <c r="I219" s="180"/>
      <c r="J219" s="181"/>
      <c r="K219" s="182"/>
      <c r="L219" s="177"/>
      <c r="M219" s="183"/>
      <c r="N219" s="184"/>
      <c r="O219" s="185"/>
      <c r="P219" s="184"/>
      <c r="Q219" s="184"/>
      <c r="R219" s="184"/>
      <c r="S219" s="184"/>
      <c r="T219" s="184"/>
    </row>
    <row r="220" spans="1:20" ht="12.75">
      <c r="A220" s="176"/>
      <c r="B220" s="153"/>
      <c r="C220" s="153"/>
      <c r="D220" s="177"/>
      <c r="E220" s="153"/>
      <c r="F220" s="178"/>
      <c r="G220" s="179"/>
      <c r="H220" s="180"/>
      <c r="I220" s="180"/>
      <c r="J220" s="181"/>
      <c r="K220" s="182"/>
      <c r="L220" s="177"/>
      <c r="M220" s="183"/>
      <c r="N220" s="184"/>
      <c r="O220" s="185"/>
      <c r="P220" s="184"/>
      <c r="Q220" s="184"/>
      <c r="R220" s="184"/>
      <c r="S220" s="184"/>
      <c r="T220" s="184"/>
    </row>
    <row r="221" spans="1:20" ht="12.75">
      <c r="A221" s="176"/>
      <c r="B221" s="153"/>
      <c r="C221" s="153"/>
      <c r="D221" s="177"/>
      <c r="E221" s="153"/>
      <c r="F221" s="178"/>
      <c r="G221" s="179"/>
      <c r="H221" s="180"/>
      <c r="I221" s="180"/>
      <c r="J221" s="181"/>
      <c r="K221" s="182"/>
      <c r="L221" s="177"/>
      <c r="M221" s="183"/>
      <c r="N221" s="184"/>
      <c r="O221" s="185"/>
      <c r="P221" s="184"/>
      <c r="Q221" s="184"/>
      <c r="R221" s="184"/>
      <c r="S221" s="184"/>
      <c r="T221" s="184"/>
    </row>
    <row r="222" spans="1:20" ht="12.75">
      <c r="A222" s="176"/>
      <c r="B222" s="153"/>
      <c r="C222" s="153"/>
      <c r="D222" s="177"/>
      <c r="E222" s="153"/>
      <c r="F222" s="178"/>
      <c r="G222" s="179"/>
      <c r="H222" s="180"/>
      <c r="I222" s="180"/>
      <c r="J222" s="181"/>
      <c r="K222" s="182"/>
      <c r="L222" s="177"/>
      <c r="M222" s="183"/>
      <c r="N222" s="184"/>
      <c r="O222" s="185"/>
      <c r="P222" s="184"/>
      <c r="Q222" s="184"/>
      <c r="R222" s="184"/>
      <c r="S222" s="184"/>
      <c r="T222" s="184"/>
    </row>
    <row r="223" spans="1:20" ht="12.75">
      <c r="A223" s="176"/>
      <c r="B223" s="153"/>
      <c r="C223" s="153"/>
      <c r="D223" s="177"/>
      <c r="E223" s="153"/>
      <c r="F223" s="178"/>
      <c r="G223" s="179"/>
      <c r="H223" s="180"/>
      <c r="I223" s="180"/>
      <c r="J223" s="181"/>
      <c r="K223" s="182"/>
      <c r="L223" s="177"/>
      <c r="M223" s="183"/>
      <c r="N223" s="184"/>
      <c r="O223" s="185"/>
      <c r="P223" s="184"/>
      <c r="Q223" s="184"/>
      <c r="R223" s="184"/>
      <c r="S223" s="184"/>
      <c r="T223" s="184"/>
    </row>
    <row r="224" spans="1:20" ht="12.75">
      <c r="A224" s="176"/>
      <c r="B224" s="153"/>
      <c r="C224" s="153"/>
      <c r="D224" s="177"/>
      <c r="E224" s="153"/>
      <c r="F224" s="178"/>
      <c r="G224" s="179"/>
      <c r="H224" s="180"/>
      <c r="I224" s="180"/>
      <c r="J224" s="181"/>
      <c r="K224" s="182"/>
      <c r="L224" s="177"/>
      <c r="M224" s="183"/>
      <c r="N224" s="184"/>
      <c r="O224" s="185"/>
      <c r="P224" s="184"/>
      <c r="Q224" s="184"/>
      <c r="R224" s="184"/>
      <c r="S224" s="184"/>
      <c r="T224" s="184"/>
    </row>
    <row r="225" spans="1:20" ht="12.75">
      <c r="A225" s="176"/>
      <c r="B225" s="153"/>
      <c r="C225" s="153"/>
      <c r="D225" s="177"/>
      <c r="E225" s="153"/>
      <c r="F225" s="178"/>
      <c r="G225" s="179"/>
      <c r="H225" s="180"/>
      <c r="I225" s="180"/>
      <c r="J225" s="181"/>
      <c r="K225" s="182"/>
      <c r="L225" s="177"/>
      <c r="M225" s="183"/>
      <c r="N225" s="184"/>
      <c r="O225" s="185"/>
      <c r="P225" s="184"/>
      <c r="Q225" s="184"/>
      <c r="R225" s="184"/>
      <c r="S225" s="184"/>
      <c r="T225" s="184"/>
    </row>
    <row r="226" spans="1:20" ht="12.75">
      <c r="A226" s="176"/>
      <c r="B226" s="153"/>
      <c r="C226" s="153"/>
      <c r="D226" s="177"/>
      <c r="E226" s="153"/>
      <c r="F226" s="178"/>
      <c r="G226" s="179"/>
      <c r="H226" s="180"/>
      <c r="I226" s="180"/>
      <c r="J226" s="181"/>
      <c r="K226" s="182"/>
      <c r="L226" s="177"/>
      <c r="M226" s="183"/>
      <c r="N226" s="184"/>
      <c r="O226" s="185"/>
      <c r="P226" s="184"/>
      <c r="Q226" s="184"/>
      <c r="R226" s="184"/>
      <c r="S226" s="184"/>
      <c r="T226" s="184"/>
    </row>
    <row r="227" spans="1:20" ht="12.75">
      <c r="A227" s="176"/>
      <c r="B227" s="153"/>
      <c r="C227" s="153"/>
      <c r="D227" s="177"/>
      <c r="E227" s="153"/>
      <c r="F227" s="178"/>
      <c r="G227" s="179"/>
      <c r="H227" s="180"/>
      <c r="I227" s="180"/>
      <c r="J227" s="181"/>
      <c r="K227" s="182"/>
      <c r="L227" s="177"/>
      <c r="M227" s="183"/>
      <c r="N227" s="184"/>
      <c r="O227" s="185"/>
      <c r="P227" s="184"/>
      <c r="Q227" s="184"/>
      <c r="R227" s="184"/>
      <c r="S227" s="184"/>
      <c r="T227" s="184"/>
    </row>
    <row r="228" spans="1:20" ht="12.75">
      <c r="A228" s="176"/>
      <c r="B228" s="153"/>
      <c r="C228" s="153"/>
      <c r="D228" s="177"/>
      <c r="E228" s="153"/>
      <c r="F228" s="178"/>
      <c r="G228" s="179"/>
      <c r="H228" s="180"/>
      <c r="I228" s="180"/>
      <c r="J228" s="181"/>
      <c r="K228" s="182"/>
      <c r="L228" s="177"/>
      <c r="M228" s="183"/>
      <c r="N228" s="184"/>
      <c r="O228" s="185"/>
      <c r="P228" s="184"/>
      <c r="Q228" s="184"/>
      <c r="R228" s="184"/>
      <c r="S228" s="184"/>
      <c r="T228" s="184"/>
    </row>
    <row r="229" spans="1:20" ht="12.75">
      <c r="A229" s="176"/>
      <c r="B229" s="153"/>
      <c r="C229" s="153"/>
      <c r="D229" s="177"/>
      <c r="E229" s="153"/>
      <c r="F229" s="178"/>
      <c r="G229" s="179"/>
      <c r="H229" s="180"/>
      <c r="I229" s="180"/>
      <c r="J229" s="181"/>
      <c r="K229" s="182"/>
      <c r="L229" s="177"/>
      <c r="M229" s="183"/>
      <c r="N229" s="184"/>
      <c r="O229" s="185"/>
      <c r="P229" s="184"/>
      <c r="Q229" s="184"/>
      <c r="R229" s="184"/>
      <c r="S229" s="184"/>
      <c r="T229" s="184"/>
    </row>
    <row r="230" spans="1:20" ht="12.75">
      <c r="A230" s="176"/>
      <c r="B230" s="153"/>
      <c r="C230" s="153"/>
      <c r="D230" s="177"/>
      <c r="E230" s="153"/>
      <c r="F230" s="178"/>
      <c r="G230" s="179"/>
      <c r="H230" s="180"/>
      <c r="I230" s="180"/>
      <c r="J230" s="181"/>
      <c r="K230" s="182"/>
      <c r="L230" s="177"/>
      <c r="M230" s="183"/>
      <c r="N230" s="184"/>
      <c r="O230" s="185"/>
      <c r="P230" s="184"/>
      <c r="Q230" s="184"/>
      <c r="R230" s="184"/>
      <c r="S230" s="184"/>
      <c r="T230" s="184"/>
    </row>
    <row r="231" spans="1:20" ht="12.75">
      <c r="A231" s="176"/>
      <c r="B231" s="153"/>
      <c r="C231" s="153"/>
      <c r="D231" s="177"/>
      <c r="E231" s="153"/>
      <c r="F231" s="178"/>
      <c r="G231" s="179"/>
      <c r="H231" s="180"/>
      <c r="I231" s="180"/>
      <c r="J231" s="181"/>
      <c r="K231" s="182"/>
      <c r="L231" s="177"/>
      <c r="M231" s="183"/>
      <c r="N231" s="184"/>
      <c r="O231" s="185"/>
      <c r="P231" s="184"/>
      <c r="Q231" s="184"/>
      <c r="R231" s="184"/>
      <c r="S231" s="184"/>
      <c r="T231" s="184"/>
    </row>
    <row r="232" spans="1:20" ht="12.75">
      <c r="A232" s="176"/>
      <c r="B232" s="153"/>
      <c r="C232" s="153"/>
      <c r="D232" s="177"/>
      <c r="E232" s="153"/>
      <c r="F232" s="178"/>
      <c r="G232" s="179"/>
      <c r="H232" s="180"/>
      <c r="I232" s="180"/>
      <c r="J232" s="181"/>
      <c r="K232" s="182"/>
      <c r="L232" s="177"/>
      <c r="M232" s="183"/>
      <c r="N232" s="184"/>
      <c r="O232" s="185"/>
      <c r="P232" s="184"/>
      <c r="Q232" s="184"/>
      <c r="R232" s="184"/>
      <c r="S232" s="184"/>
      <c r="T232" s="184"/>
    </row>
    <row r="233" spans="1:20" ht="12.75">
      <c r="A233" s="176"/>
      <c r="B233" s="153"/>
      <c r="C233" s="153"/>
      <c r="D233" s="177"/>
      <c r="E233" s="153"/>
      <c r="F233" s="178"/>
      <c r="G233" s="179"/>
      <c r="H233" s="180"/>
      <c r="I233" s="180"/>
      <c r="J233" s="181"/>
      <c r="K233" s="182"/>
      <c r="L233" s="177"/>
      <c r="M233" s="183"/>
      <c r="N233" s="184"/>
      <c r="O233" s="185"/>
      <c r="P233" s="184"/>
      <c r="Q233" s="184"/>
      <c r="R233" s="184"/>
      <c r="S233" s="184"/>
      <c r="T233" s="184"/>
    </row>
    <row r="234" spans="1:20" ht="12.75">
      <c r="A234" s="176"/>
      <c r="B234" s="153"/>
      <c r="C234" s="153"/>
      <c r="D234" s="177"/>
      <c r="E234" s="153"/>
      <c r="F234" s="178"/>
      <c r="G234" s="179"/>
      <c r="H234" s="180"/>
      <c r="I234" s="180"/>
      <c r="J234" s="181"/>
      <c r="K234" s="182"/>
      <c r="L234" s="177"/>
      <c r="M234" s="183"/>
      <c r="N234" s="184"/>
      <c r="O234" s="185"/>
      <c r="P234" s="184"/>
      <c r="Q234" s="184"/>
      <c r="R234" s="184"/>
      <c r="S234" s="184"/>
      <c r="T234" s="184"/>
    </row>
    <row r="235" spans="1:20" ht="12.75">
      <c r="A235" s="176"/>
      <c r="B235" s="153"/>
      <c r="C235" s="153"/>
      <c r="D235" s="177"/>
      <c r="E235" s="153"/>
      <c r="F235" s="178"/>
      <c r="G235" s="179"/>
      <c r="H235" s="180"/>
      <c r="I235" s="180"/>
      <c r="J235" s="181"/>
      <c r="K235" s="182"/>
      <c r="L235" s="177"/>
      <c r="M235" s="183"/>
      <c r="N235" s="184"/>
      <c r="O235" s="185"/>
      <c r="P235" s="184"/>
      <c r="Q235" s="184"/>
      <c r="R235" s="184"/>
      <c r="S235" s="184"/>
      <c r="T235" s="184"/>
    </row>
    <row r="236" spans="1:20" ht="12.75">
      <c r="A236" s="176"/>
      <c r="B236" s="153"/>
      <c r="C236" s="153"/>
      <c r="D236" s="177"/>
      <c r="E236" s="153"/>
      <c r="F236" s="178"/>
      <c r="G236" s="179"/>
      <c r="H236" s="180"/>
      <c r="I236" s="180"/>
      <c r="J236" s="181"/>
      <c r="K236" s="182"/>
      <c r="L236" s="177"/>
      <c r="M236" s="183"/>
      <c r="N236" s="184"/>
      <c r="O236" s="185"/>
      <c r="P236" s="184"/>
      <c r="Q236" s="184"/>
      <c r="R236" s="184"/>
      <c r="S236" s="184"/>
      <c r="T236" s="184"/>
    </row>
    <row r="237" spans="1:20" ht="12.75">
      <c r="A237" s="176"/>
      <c r="B237" s="153"/>
      <c r="C237" s="153"/>
      <c r="D237" s="177"/>
      <c r="E237" s="153"/>
      <c r="F237" s="178"/>
      <c r="G237" s="179"/>
      <c r="H237" s="180"/>
      <c r="I237" s="180"/>
      <c r="J237" s="181"/>
      <c r="K237" s="182"/>
      <c r="L237" s="177"/>
      <c r="M237" s="183"/>
      <c r="N237" s="184"/>
      <c r="O237" s="185"/>
      <c r="P237" s="184"/>
      <c r="Q237" s="184"/>
      <c r="R237" s="184"/>
      <c r="S237" s="184"/>
      <c r="T237" s="184"/>
    </row>
    <row r="238" spans="1:20" ht="12.75">
      <c r="A238" s="176"/>
      <c r="B238" s="153"/>
      <c r="C238" s="153"/>
      <c r="D238" s="177"/>
      <c r="E238" s="153"/>
      <c r="F238" s="178"/>
      <c r="G238" s="179"/>
      <c r="H238" s="180"/>
      <c r="I238" s="180"/>
      <c r="J238" s="181"/>
      <c r="K238" s="182"/>
      <c r="L238" s="177"/>
      <c r="M238" s="183"/>
      <c r="N238" s="184"/>
      <c r="O238" s="185"/>
      <c r="P238" s="184"/>
      <c r="Q238" s="184"/>
      <c r="R238" s="184"/>
      <c r="S238" s="184"/>
      <c r="T238" s="184"/>
    </row>
    <row r="239" spans="1:20" ht="12.75">
      <c r="A239" s="176"/>
      <c r="B239" s="153"/>
      <c r="C239" s="153"/>
      <c r="D239" s="177"/>
      <c r="E239" s="153"/>
      <c r="F239" s="178"/>
      <c r="G239" s="179"/>
      <c r="H239" s="180"/>
      <c r="I239" s="180"/>
      <c r="J239" s="181"/>
      <c r="K239" s="182"/>
      <c r="L239" s="177"/>
      <c r="M239" s="183"/>
      <c r="N239" s="184"/>
      <c r="O239" s="185"/>
      <c r="P239" s="184"/>
      <c r="Q239" s="184"/>
      <c r="R239" s="184"/>
      <c r="S239" s="184"/>
      <c r="T239" s="184"/>
    </row>
    <row r="240" spans="1:20" ht="12.75">
      <c r="A240" s="176"/>
      <c r="B240" s="153"/>
      <c r="C240" s="153"/>
      <c r="D240" s="177"/>
      <c r="E240" s="153"/>
      <c r="F240" s="178"/>
      <c r="G240" s="179"/>
      <c r="H240" s="180"/>
      <c r="I240" s="180"/>
      <c r="J240" s="181"/>
      <c r="K240" s="182"/>
      <c r="L240" s="177"/>
      <c r="M240" s="183"/>
      <c r="N240" s="184"/>
      <c r="O240" s="185"/>
      <c r="P240" s="184"/>
      <c r="Q240" s="184"/>
      <c r="R240" s="184"/>
      <c r="S240" s="184"/>
      <c r="T240" s="184"/>
    </row>
    <row r="241" spans="1:20" ht="12.75">
      <c r="A241" s="176"/>
      <c r="B241" s="153"/>
      <c r="C241" s="153"/>
      <c r="D241" s="177"/>
      <c r="E241" s="153"/>
      <c r="F241" s="178"/>
      <c r="G241" s="179"/>
      <c r="H241" s="180"/>
      <c r="I241" s="180"/>
      <c r="J241" s="181"/>
      <c r="K241" s="182"/>
      <c r="L241" s="177"/>
      <c r="M241" s="183"/>
      <c r="N241" s="184"/>
      <c r="O241" s="185"/>
      <c r="P241" s="184"/>
      <c r="Q241" s="184"/>
      <c r="R241" s="184"/>
      <c r="S241" s="184"/>
      <c r="T241" s="184"/>
    </row>
    <row r="242" spans="1:20" ht="12.75">
      <c r="A242" s="176"/>
      <c r="B242" s="153"/>
      <c r="C242" s="153"/>
      <c r="D242" s="177"/>
      <c r="E242" s="153"/>
      <c r="F242" s="178"/>
      <c r="G242" s="179"/>
      <c r="H242" s="180"/>
      <c r="I242" s="180"/>
      <c r="J242" s="181"/>
      <c r="K242" s="182"/>
      <c r="L242" s="177"/>
      <c r="M242" s="183"/>
      <c r="N242" s="184"/>
      <c r="O242" s="185"/>
      <c r="P242" s="184"/>
      <c r="Q242" s="184"/>
      <c r="R242" s="184"/>
      <c r="S242" s="184"/>
      <c r="T242" s="184"/>
    </row>
    <row r="243" spans="1:20" ht="12.75">
      <c r="A243" s="176"/>
      <c r="B243" s="153"/>
      <c r="C243" s="153"/>
      <c r="D243" s="177"/>
      <c r="E243" s="153"/>
      <c r="F243" s="178"/>
      <c r="G243" s="179"/>
      <c r="H243" s="180"/>
      <c r="I243" s="180"/>
      <c r="J243" s="181"/>
      <c r="K243" s="182"/>
      <c r="L243" s="177"/>
      <c r="M243" s="183"/>
      <c r="N243" s="184"/>
      <c r="O243" s="185"/>
      <c r="P243" s="184"/>
      <c r="Q243" s="184"/>
      <c r="R243" s="184"/>
      <c r="S243" s="184"/>
      <c r="T243" s="184"/>
    </row>
    <row r="244" spans="1:20" ht="12.75">
      <c r="A244" s="176"/>
      <c r="B244" s="153"/>
      <c r="C244" s="153"/>
      <c r="D244" s="177"/>
      <c r="E244" s="153"/>
      <c r="F244" s="178"/>
      <c r="G244" s="179"/>
      <c r="H244" s="180"/>
      <c r="I244" s="180"/>
      <c r="J244" s="181"/>
      <c r="K244" s="182"/>
      <c r="L244" s="177"/>
      <c r="M244" s="183"/>
      <c r="N244" s="184"/>
      <c r="O244" s="185"/>
      <c r="P244" s="184"/>
      <c r="Q244" s="184"/>
      <c r="R244" s="184"/>
      <c r="S244" s="184"/>
      <c r="T244" s="184"/>
    </row>
    <row r="245" spans="1:20" ht="12.75">
      <c r="A245" s="176"/>
      <c r="B245" s="153"/>
      <c r="C245" s="153"/>
      <c r="D245" s="177"/>
      <c r="E245" s="153"/>
      <c r="F245" s="178"/>
      <c r="G245" s="179"/>
      <c r="H245" s="180"/>
      <c r="I245" s="180"/>
      <c r="J245" s="181"/>
      <c r="K245" s="182"/>
      <c r="L245" s="177"/>
      <c r="M245" s="183"/>
      <c r="N245" s="184"/>
      <c r="O245" s="185"/>
      <c r="P245" s="184"/>
      <c r="Q245" s="184"/>
      <c r="R245" s="184"/>
      <c r="S245" s="184"/>
      <c r="T245" s="184"/>
    </row>
    <row r="246" spans="1:20" ht="12.75">
      <c r="A246" s="176"/>
      <c r="B246" s="153"/>
      <c r="C246" s="153"/>
      <c r="D246" s="177"/>
      <c r="E246" s="153"/>
      <c r="F246" s="178"/>
      <c r="G246" s="179"/>
      <c r="H246" s="180"/>
      <c r="I246" s="180"/>
      <c r="J246" s="181"/>
      <c r="K246" s="182"/>
      <c r="L246" s="177"/>
      <c r="M246" s="183"/>
      <c r="N246" s="184"/>
      <c r="O246" s="185"/>
      <c r="P246" s="184"/>
      <c r="Q246" s="184"/>
      <c r="R246" s="184"/>
      <c r="S246" s="184"/>
      <c r="T246" s="184"/>
    </row>
    <row r="247" spans="1:20" ht="12.75">
      <c r="A247" s="176"/>
      <c r="B247" s="153"/>
      <c r="C247" s="153"/>
      <c r="D247" s="177"/>
      <c r="E247" s="153"/>
      <c r="F247" s="178"/>
      <c r="G247" s="179"/>
      <c r="H247" s="180"/>
      <c r="I247" s="180"/>
      <c r="J247" s="181"/>
      <c r="K247" s="182"/>
      <c r="L247" s="177"/>
      <c r="M247" s="183"/>
      <c r="N247" s="184"/>
      <c r="O247" s="185"/>
      <c r="P247" s="184"/>
      <c r="Q247" s="184"/>
      <c r="R247" s="184"/>
      <c r="S247" s="184"/>
      <c r="T247" s="184"/>
    </row>
    <row r="248" spans="1:20" ht="12.75">
      <c r="A248" s="176"/>
      <c r="B248" s="153"/>
      <c r="C248" s="153"/>
      <c r="D248" s="177"/>
      <c r="E248" s="153"/>
      <c r="F248" s="178"/>
      <c r="G248" s="179"/>
      <c r="H248" s="180"/>
      <c r="I248" s="180"/>
      <c r="J248" s="181"/>
      <c r="K248" s="182"/>
      <c r="L248" s="177"/>
      <c r="M248" s="183"/>
      <c r="N248" s="184"/>
      <c r="O248" s="185"/>
      <c r="P248" s="184"/>
      <c r="Q248" s="184"/>
      <c r="R248" s="184"/>
      <c r="S248" s="184"/>
      <c r="T248" s="184"/>
    </row>
    <row r="249" spans="1:20" ht="12.75">
      <c r="A249" s="176"/>
      <c r="B249" s="153"/>
      <c r="C249" s="153"/>
      <c r="D249" s="177"/>
      <c r="E249" s="153"/>
      <c r="F249" s="178"/>
      <c r="G249" s="179"/>
      <c r="H249" s="180"/>
      <c r="I249" s="180"/>
      <c r="J249" s="181"/>
      <c r="K249" s="182"/>
      <c r="L249" s="177"/>
      <c r="M249" s="183"/>
      <c r="N249" s="184"/>
      <c r="O249" s="185"/>
      <c r="P249" s="184"/>
      <c r="Q249" s="184"/>
      <c r="R249" s="184"/>
      <c r="S249" s="184"/>
      <c r="T249" s="184"/>
    </row>
    <row r="250" spans="1:20" ht="12.75">
      <c r="A250" s="176"/>
      <c r="B250" s="153"/>
      <c r="C250" s="153"/>
      <c r="D250" s="177"/>
      <c r="E250" s="153"/>
      <c r="F250" s="178"/>
      <c r="G250" s="179"/>
      <c r="H250" s="180"/>
      <c r="I250" s="180"/>
      <c r="J250" s="181"/>
      <c r="K250" s="182"/>
      <c r="L250" s="177"/>
      <c r="M250" s="183"/>
      <c r="N250" s="184"/>
      <c r="O250" s="185"/>
      <c r="P250" s="184"/>
      <c r="Q250" s="184"/>
      <c r="R250" s="184"/>
      <c r="S250" s="184"/>
      <c r="T250" s="184"/>
    </row>
    <row r="251" spans="1:20" ht="12.75">
      <c r="A251" s="176"/>
      <c r="B251" s="153"/>
      <c r="C251" s="153"/>
      <c r="D251" s="177"/>
      <c r="E251" s="153"/>
      <c r="F251" s="178"/>
      <c r="G251" s="179"/>
      <c r="H251" s="180"/>
      <c r="I251" s="180"/>
      <c r="J251" s="181"/>
      <c r="K251" s="182"/>
      <c r="L251" s="177"/>
      <c r="M251" s="183"/>
      <c r="N251" s="184"/>
      <c r="O251" s="185"/>
      <c r="P251" s="184"/>
      <c r="Q251" s="184"/>
      <c r="R251" s="184"/>
      <c r="S251" s="184"/>
      <c r="T251" s="184"/>
    </row>
    <row r="252" spans="1:20" ht="12.75">
      <c r="A252" s="176"/>
      <c r="B252" s="153"/>
      <c r="C252" s="153"/>
      <c r="D252" s="177"/>
      <c r="E252" s="153"/>
      <c r="F252" s="178"/>
      <c r="G252" s="179"/>
      <c r="H252" s="180"/>
      <c r="I252" s="180"/>
      <c r="J252" s="181"/>
      <c r="K252" s="182"/>
      <c r="L252" s="177"/>
      <c r="M252" s="183"/>
      <c r="N252" s="184"/>
      <c r="O252" s="185"/>
      <c r="P252" s="184"/>
      <c r="Q252" s="184"/>
      <c r="R252" s="184"/>
      <c r="S252" s="184"/>
      <c r="T252" s="184"/>
    </row>
    <row r="253" spans="1:20" ht="12.75">
      <c r="A253" s="176"/>
      <c r="B253" s="153"/>
      <c r="C253" s="153"/>
      <c r="D253" s="177"/>
      <c r="E253" s="153"/>
      <c r="F253" s="178"/>
      <c r="G253" s="179"/>
      <c r="H253" s="180"/>
      <c r="I253" s="180"/>
      <c r="J253" s="181"/>
      <c r="K253" s="182"/>
      <c r="L253" s="177"/>
      <c r="M253" s="183"/>
      <c r="N253" s="184"/>
      <c r="O253" s="185"/>
      <c r="P253" s="184"/>
      <c r="Q253" s="184"/>
      <c r="R253" s="184"/>
      <c r="S253" s="184"/>
      <c r="T253" s="184"/>
    </row>
    <row r="254" spans="1:20" ht="12.75">
      <c r="A254" s="176"/>
      <c r="B254" s="153"/>
      <c r="C254" s="153"/>
      <c r="D254" s="177"/>
      <c r="E254" s="153"/>
      <c r="F254" s="178"/>
      <c r="G254" s="179"/>
      <c r="H254" s="180"/>
      <c r="I254" s="180"/>
      <c r="J254" s="181"/>
      <c r="K254" s="182"/>
      <c r="L254" s="177"/>
      <c r="M254" s="183"/>
      <c r="N254" s="184"/>
      <c r="O254" s="185"/>
      <c r="P254" s="184"/>
      <c r="Q254" s="184"/>
      <c r="R254" s="184"/>
      <c r="S254" s="184"/>
      <c r="T254" s="184"/>
    </row>
    <row r="255" spans="1:20" ht="12.75">
      <c r="A255" s="176"/>
      <c r="B255" s="153"/>
      <c r="C255" s="153"/>
      <c r="D255" s="177"/>
      <c r="E255" s="153"/>
      <c r="F255" s="178"/>
      <c r="G255" s="179"/>
      <c r="H255" s="180"/>
      <c r="I255" s="180"/>
      <c r="J255" s="181"/>
      <c r="K255" s="182"/>
      <c r="L255" s="177"/>
      <c r="M255" s="183"/>
      <c r="N255" s="184"/>
      <c r="O255" s="185"/>
      <c r="P255" s="184"/>
      <c r="Q255" s="184"/>
      <c r="R255" s="184"/>
      <c r="S255" s="184"/>
      <c r="T255" s="184"/>
    </row>
    <row r="256" spans="1:20" ht="12.75">
      <c r="A256" s="176"/>
      <c r="B256" s="153"/>
      <c r="C256" s="153"/>
      <c r="D256" s="177"/>
      <c r="E256" s="153"/>
      <c r="F256" s="178"/>
      <c r="G256" s="179"/>
      <c r="H256" s="180"/>
      <c r="I256" s="180"/>
      <c r="J256" s="181"/>
      <c r="K256" s="182"/>
      <c r="L256" s="177"/>
      <c r="M256" s="183"/>
      <c r="N256" s="184"/>
      <c r="O256" s="185"/>
      <c r="P256" s="184"/>
      <c r="Q256" s="184"/>
      <c r="R256" s="184"/>
      <c r="S256" s="184"/>
      <c r="T256" s="184"/>
    </row>
    <row r="257" spans="1:20" ht="12.75">
      <c r="A257" s="176"/>
      <c r="B257" s="153"/>
      <c r="C257" s="153"/>
      <c r="D257" s="177"/>
      <c r="E257" s="153"/>
      <c r="F257" s="178"/>
      <c r="G257" s="179"/>
      <c r="H257" s="180"/>
      <c r="I257" s="180"/>
      <c r="J257" s="181"/>
      <c r="K257" s="182"/>
      <c r="L257" s="177"/>
      <c r="M257" s="183"/>
      <c r="N257" s="184"/>
      <c r="O257" s="185"/>
      <c r="P257" s="184"/>
      <c r="Q257" s="184"/>
      <c r="R257" s="184"/>
      <c r="S257" s="184"/>
      <c r="T257" s="184"/>
    </row>
    <row r="258" spans="1:20" ht="12.75">
      <c r="A258" s="176"/>
      <c r="B258" s="153"/>
      <c r="C258" s="153"/>
      <c r="D258" s="177"/>
      <c r="E258" s="153"/>
      <c r="F258" s="178"/>
      <c r="G258" s="179"/>
      <c r="H258" s="180"/>
      <c r="I258" s="180"/>
      <c r="J258" s="181"/>
      <c r="K258" s="182"/>
      <c r="L258" s="177"/>
      <c r="M258" s="183"/>
      <c r="N258" s="184"/>
      <c r="O258" s="185"/>
      <c r="P258" s="184"/>
      <c r="Q258" s="184"/>
      <c r="R258" s="184"/>
      <c r="S258" s="184"/>
      <c r="T258" s="184"/>
    </row>
    <row r="259" spans="1:20" ht="12.75">
      <c r="A259" s="176"/>
      <c r="B259" s="153"/>
      <c r="C259" s="153"/>
      <c r="D259" s="177"/>
      <c r="E259" s="153"/>
      <c r="F259" s="178"/>
      <c r="G259" s="179"/>
      <c r="H259" s="180"/>
      <c r="I259" s="180"/>
      <c r="J259" s="181"/>
      <c r="K259" s="182"/>
      <c r="L259" s="177"/>
      <c r="M259" s="183"/>
      <c r="N259" s="184"/>
      <c r="O259" s="185"/>
      <c r="P259" s="184"/>
      <c r="Q259" s="184"/>
      <c r="R259" s="184"/>
      <c r="S259" s="184"/>
      <c r="T259" s="184"/>
    </row>
    <row r="260" spans="1:20" ht="12.75">
      <c r="A260" s="176"/>
      <c r="B260" s="153"/>
      <c r="C260" s="153"/>
      <c r="D260" s="177"/>
      <c r="E260" s="153"/>
      <c r="F260" s="178"/>
      <c r="G260" s="179"/>
      <c r="H260" s="180"/>
      <c r="I260" s="180"/>
      <c r="J260" s="181"/>
      <c r="K260" s="182"/>
      <c r="L260" s="177"/>
      <c r="M260" s="183"/>
      <c r="N260" s="184"/>
      <c r="O260" s="185"/>
      <c r="P260" s="184"/>
      <c r="Q260" s="184"/>
      <c r="R260" s="184"/>
      <c r="S260" s="184"/>
      <c r="T260" s="184"/>
    </row>
    <row r="261" spans="1:20" ht="12.75">
      <c r="A261" s="176"/>
      <c r="B261" s="153"/>
      <c r="C261" s="153"/>
      <c r="D261" s="177"/>
      <c r="E261" s="153"/>
      <c r="F261" s="178"/>
      <c r="G261" s="179"/>
      <c r="H261" s="180"/>
      <c r="I261" s="180"/>
      <c r="J261" s="181"/>
      <c r="K261" s="182"/>
      <c r="L261" s="177"/>
      <c r="M261" s="183"/>
      <c r="N261" s="184"/>
      <c r="O261" s="185"/>
      <c r="P261" s="184"/>
      <c r="Q261" s="184"/>
      <c r="R261" s="184"/>
      <c r="S261" s="184"/>
      <c r="T261" s="184"/>
    </row>
    <row r="262" spans="1:20" ht="12.75">
      <c r="A262" s="176"/>
      <c r="B262" s="153"/>
      <c r="C262" s="153"/>
      <c r="D262" s="177"/>
      <c r="E262" s="153"/>
      <c r="F262" s="178"/>
      <c r="G262" s="179"/>
      <c r="H262" s="180"/>
      <c r="I262" s="180"/>
      <c r="J262" s="181"/>
      <c r="K262" s="182"/>
      <c r="L262" s="177"/>
      <c r="M262" s="183"/>
      <c r="N262" s="184"/>
      <c r="O262" s="185"/>
      <c r="P262" s="184"/>
      <c r="Q262" s="184"/>
      <c r="R262" s="184"/>
      <c r="S262" s="184"/>
      <c r="T262" s="184"/>
    </row>
    <row r="263" spans="1:20" ht="12.75">
      <c r="A263" s="176"/>
      <c r="B263" s="153"/>
      <c r="C263" s="153"/>
      <c r="D263" s="177"/>
      <c r="E263" s="153"/>
      <c r="F263" s="178"/>
      <c r="G263" s="179"/>
      <c r="H263" s="180"/>
      <c r="I263" s="180"/>
      <c r="J263" s="181"/>
      <c r="K263" s="182"/>
      <c r="L263" s="177"/>
      <c r="M263" s="183"/>
      <c r="N263" s="184"/>
      <c r="O263" s="185"/>
      <c r="P263" s="184"/>
      <c r="Q263" s="184"/>
      <c r="R263" s="184"/>
      <c r="S263" s="184"/>
      <c r="T263" s="184"/>
    </row>
    <row r="264" spans="1:20" ht="12.75">
      <c r="A264" s="176"/>
      <c r="B264" s="153"/>
      <c r="C264" s="153"/>
      <c r="D264" s="177"/>
      <c r="E264" s="153"/>
      <c r="F264" s="178"/>
      <c r="G264" s="179"/>
      <c r="H264" s="180"/>
      <c r="I264" s="180"/>
      <c r="J264" s="181"/>
      <c r="K264" s="182"/>
      <c r="L264" s="177"/>
      <c r="M264" s="183"/>
      <c r="N264" s="184"/>
      <c r="O264" s="185"/>
      <c r="P264" s="184"/>
      <c r="Q264" s="184"/>
      <c r="R264" s="184"/>
      <c r="S264" s="184"/>
      <c r="T264" s="184"/>
    </row>
    <row r="265" spans="1:20" ht="12.75">
      <c r="A265" s="176"/>
      <c r="B265" s="153"/>
      <c r="C265" s="153"/>
      <c r="D265" s="177"/>
      <c r="E265" s="153"/>
      <c r="F265" s="178"/>
      <c r="G265" s="179"/>
      <c r="H265" s="180"/>
      <c r="I265" s="180"/>
      <c r="J265" s="181"/>
      <c r="K265" s="182"/>
      <c r="L265" s="177"/>
      <c r="M265" s="183"/>
      <c r="N265" s="184"/>
      <c r="O265" s="185"/>
      <c r="P265" s="184"/>
      <c r="Q265" s="184"/>
      <c r="R265" s="184"/>
      <c r="S265" s="184"/>
      <c r="T265" s="184"/>
    </row>
    <row r="266" spans="1:20" ht="12.75">
      <c r="A266" s="176"/>
      <c r="B266" s="153"/>
      <c r="C266" s="153"/>
      <c r="D266" s="177"/>
      <c r="E266" s="153"/>
      <c r="F266" s="178"/>
      <c r="G266" s="179"/>
      <c r="H266" s="180"/>
      <c r="I266" s="180"/>
      <c r="J266" s="181"/>
      <c r="K266" s="182"/>
      <c r="L266" s="177"/>
      <c r="M266" s="183"/>
      <c r="N266" s="184"/>
      <c r="O266" s="185"/>
      <c r="P266" s="184"/>
      <c r="Q266" s="184"/>
      <c r="R266" s="184"/>
      <c r="S266" s="184"/>
      <c r="T266" s="184"/>
    </row>
    <row r="267" spans="1:20" ht="12.75">
      <c r="A267" s="176"/>
      <c r="B267" s="153"/>
      <c r="C267" s="153"/>
      <c r="D267" s="177"/>
      <c r="E267" s="153"/>
      <c r="F267" s="178"/>
      <c r="G267" s="179"/>
      <c r="H267" s="180"/>
      <c r="I267" s="180"/>
      <c r="J267" s="181"/>
      <c r="K267" s="182"/>
      <c r="L267" s="177"/>
      <c r="M267" s="183"/>
      <c r="N267" s="184"/>
      <c r="O267" s="185"/>
      <c r="P267" s="184"/>
      <c r="Q267" s="184"/>
      <c r="R267" s="184"/>
      <c r="S267" s="184"/>
      <c r="T267" s="184"/>
    </row>
    <row r="268" spans="1:20" ht="12.75">
      <c r="A268" s="176"/>
      <c r="B268" s="153"/>
      <c r="C268" s="153"/>
      <c r="D268" s="177"/>
      <c r="E268" s="153"/>
      <c r="F268" s="178"/>
      <c r="G268" s="179"/>
      <c r="H268" s="180"/>
      <c r="I268" s="180"/>
      <c r="J268" s="181"/>
      <c r="K268" s="182"/>
      <c r="L268" s="177"/>
      <c r="M268" s="183"/>
      <c r="N268" s="184"/>
      <c r="O268" s="185"/>
      <c r="P268" s="184"/>
      <c r="Q268" s="184"/>
      <c r="R268" s="184"/>
      <c r="S268" s="184"/>
      <c r="T268" s="184"/>
    </row>
    <row r="269" spans="1:20" ht="12.75">
      <c r="A269" s="176"/>
      <c r="B269" s="153"/>
      <c r="C269" s="153"/>
      <c r="D269" s="177"/>
      <c r="E269" s="153"/>
      <c r="F269" s="178"/>
      <c r="G269" s="179"/>
      <c r="H269" s="180"/>
      <c r="I269" s="180"/>
      <c r="J269" s="181"/>
      <c r="K269" s="182"/>
      <c r="L269" s="177"/>
      <c r="M269" s="183"/>
      <c r="N269" s="184"/>
      <c r="O269" s="185"/>
      <c r="P269" s="184"/>
      <c r="Q269" s="184"/>
      <c r="R269" s="184"/>
      <c r="S269" s="184"/>
      <c r="T269" s="184"/>
    </row>
    <row r="270" spans="1:20" ht="12.75">
      <c r="A270" s="176"/>
      <c r="B270" s="153"/>
      <c r="C270" s="153"/>
      <c r="D270" s="177"/>
      <c r="E270" s="153"/>
      <c r="F270" s="178"/>
      <c r="G270" s="179"/>
      <c r="H270" s="180"/>
      <c r="I270" s="180"/>
      <c r="J270" s="181"/>
      <c r="K270" s="182"/>
      <c r="L270" s="177"/>
      <c r="M270" s="183"/>
      <c r="N270" s="184"/>
      <c r="O270" s="185"/>
      <c r="P270" s="184"/>
      <c r="Q270" s="184"/>
      <c r="R270" s="184"/>
      <c r="S270" s="184"/>
      <c r="T270" s="184"/>
    </row>
    <row r="271" spans="1:20" ht="12.75">
      <c r="A271" s="176"/>
      <c r="B271" s="153"/>
      <c r="C271" s="153"/>
      <c r="D271" s="177"/>
      <c r="E271" s="153"/>
      <c r="F271" s="178"/>
      <c r="G271" s="179"/>
      <c r="H271" s="180"/>
      <c r="I271" s="180"/>
      <c r="J271" s="181"/>
      <c r="K271" s="182"/>
      <c r="L271" s="177"/>
      <c r="M271" s="183"/>
      <c r="N271" s="184"/>
      <c r="O271" s="185"/>
      <c r="P271" s="184"/>
      <c r="Q271" s="184"/>
      <c r="R271" s="184"/>
      <c r="S271" s="184"/>
      <c r="T271" s="184"/>
    </row>
    <row r="272" spans="1:20" ht="12.75">
      <c r="A272" s="176"/>
      <c r="B272" s="153"/>
      <c r="C272" s="153"/>
      <c r="D272" s="177"/>
      <c r="E272" s="153"/>
      <c r="F272" s="178"/>
      <c r="G272" s="179"/>
      <c r="H272" s="180"/>
      <c r="I272" s="180"/>
      <c r="J272" s="181"/>
      <c r="K272" s="182"/>
      <c r="L272" s="177"/>
      <c r="M272" s="183"/>
      <c r="N272" s="184"/>
      <c r="O272" s="185"/>
      <c r="P272" s="184"/>
      <c r="Q272" s="184"/>
      <c r="R272" s="184"/>
      <c r="S272" s="184"/>
      <c r="T272" s="184"/>
    </row>
    <row r="273" spans="1:20" ht="12.75">
      <c r="A273" s="176"/>
      <c r="B273" s="153"/>
      <c r="C273" s="153"/>
      <c r="D273" s="177"/>
      <c r="E273" s="153"/>
      <c r="F273" s="178"/>
      <c r="G273" s="179"/>
      <c r="H273" s="180"/>
      <c r="I273" s="180"/>
      <c r="J273" s="181"/>
      <c r="K273" s="182"/>
      <c r="L273" s="177"/>
      <c r="M273" s="183"/>
      <c r="N273" s="184"/>
      <c r="O273" s="185"/>
      <c r="P273" s="184"/>
      <c r="Q273" s="184"/>
      <c r="R273" s="184"/>
      <c r="S273" s="184"/>
      <c r="T273" s="184"/>
    </row>
    <row r="274" spans="1:20" ht="12.75">
      <c r="A274" s="176"/>
      <c r="B274" s="153"/>
      <c r="C274" s="153"/>
      <c r="D274" s="177"/>
      <c r="E274" s="153"/>
      <c r="F274" s="178"/>
      <c r="G274" s="179"/>
      <c r="H274" s="180"/>
      <c r="I274" s="180"/>
      <c r="J274" s="181"/>
      <c r="K274" s="182"/>
      <c r="L274" s="177"/>
      <c r="M274" s="183"/>
      <c r="N274" s="184"/>
      <c r="O274" s="185"/>
      <c r="P274" s="184"/>
      <c r="Q274" s="184"/>
      <c r="R274" s="184"/>
      <c r="S274" s="184"/>
      <c r="T274" s="184"/>
    </row>
    <row r="275" spans="1:20" ht="12.75">
      <c r="A275" s="176"/>
      <c r="B275" s="153"/>
      <c r="C275" s="153"/>
      <c r="D275" s="177"/>
      <c r="E275" s="153"/>
      <c r="F275" s="178"/>
      <c r="G275" s="179"/>
      <c r="H275" s="180"/>
      <c r="I275" s="180"/>
      <c r="J275" s="181"/>
      <c r="K275" s="182"/>
      <c r="L275" s="177"/>
      <c r="M275" s="183"/>
      <c r="N275" s="184"/>
      <c r="O275" s="185"/>
      <c r="P275" s="184"/>
      <c r="Q275" s="184"/>
      <c r="R275" s="184"/>
      <c r="S275" s="184"/>
      <c r="T275" s="184"/>
    </row>
    <row r="276" spans="1:20" ht="12.75">
      <c r="A276" s="176"/>
      <c r="B276" s="153"/>
      <c r="C276" s="153"/>
      <c r="D276" s="177"/>
      <c r="E276" s="153"/>
      <c r="F276" s="178"/>
      <c r="G276" s="179"/>
      <c r="H276" s="180"/>
      <c r="I276" s="180"/>
      <c r="J276" s="181"/>
      <c r="K276" s="182"/>
      <c r="L276" s="177"/>
      <c r="M276" s="183"/>
      <c r="N276" s="184"/>
      <c r="O276" s="185"/>
      <c r="P276" s="184"/>
      <c r="Q276" s="184"/>
      <c r="R276" s="184"/>
      <c r="S276" s="184"/>
      <c r="T276" s="184"/>
    </row>
    <row r="277" spans="1:20" ht="12.75">
      <c r="A277" s="176"/>
      <c r="B277" s="153"/>
      <c r="C277" s="153"/>
      <c r="D277" s="177"/>
      <c r="E277" s="153"/>
      <c r="F277" s="178"/>
      <c r="G277" s="179"/>
      <c r="H277" s="180"/>
      <c r="I277" s="180"/>
      <c r="J277" s="181"/>
      <c r="K277" s="182"/>
      <c r="L277" s="177"/>
      <c r="M277" s="183"/>
      <c r="N277" s="184"/>
      <c r="O277" s="185"/>
      <c r="P277" s="184"/>
      <c r="Q277" s="184"/>
      <c r="R277" s="184"/>
      <c r="S277" s="184"/>
      <c r="T277" s="184"/>
    </row>
    <row r="278" spans="1:20" ht="12.75">
      <c r="A278" s="176"/>
      <c r="B278" s="153"/>
      <c r="C278" s="153"/>
      <c r="D278" s="177"/>
      <c r="E278" s="153"/>
      <c r="F278" s="178"/>
      <c r="G278" s="179"/>
      <c r="H278" s="180"/>
      <c r="I278" s="180"/>
      <c r="J278" s="181"/>
      <c r="K278" s="182"/>
      <c r="L278" s="177"/>
      <c r="M278" s="183"/>
      <c r="N278" s="184"/>
      <c r="O278" s="185"/>
      <c r="P278" s="184"/>
      <c r="Q278" s="184"/>
      <c r="R278" s="184"/>
      <c r="S278" s="184"/>
      <c r="T278" s="184"/>
    </row>
    <row r="279" spans="1:20" ht="12.75">
      <c r="A279" s="176"/>
      <c r="B279" s="153"/>
      <c r="C279" s="153"/>
      <c r="D279" s="177"/>
      <c r="E279" s="153"/>
      <c r="F279" s="178"/>
      <c r="G279" s="179"/>
      <c r="H279" s="180"/>
      <c r="I279" s="180"/>
      <c r="J279" s="181"/>
      <c r="K279" s="182"/>
      <c r="L279" s="177"/>
      <c r="M279" s="183"/>
      <c r="N279" s="184"/>
      <c r="O279" s="185"/>
      <c r="P279" s="184"/>
      <c r="Q279" s="184"/>
      <c r="R279" s="184"/>
      <c r="S279" s="184"/>
      <c r="T279" s="184"/>
    </row>
    <row r="280" spans="1:20" ht="12.75">
      <c r="A280" s="176"/>
      <c r="B280" s="153"/>
      <c r="C280" s="153"/>
      <c r="D280" s="177"/>
      <c r="E280" s="153"/>
      <c r="F280" s="178"/>
      <c r="G280" s="179"/>
      <c r="H280" s="180"/>
      <c r="I280" s="180"/>
      <c r="J280" s="181"/>
      <c r="K280" s="182"/>
      <c r="L280" s="177"/>
      <c r="M280" s="183"/>
      <c r="N280" s="184"/>
      <c r="O280" s="185"/>
      <c r="P280" s="184"/>
      <c r="Q280" s="184"/>
      <c r="R280" s="184"/>
      <c r="S280" s="184"/>
      <c r="T280" s="184"/>
    </row>
    <row r="281" spans="1:20" ht="12.75">
      <c r="A281" s="176"/>
      <c r="B281" s="153"/>
      <c r="C281" s="153"/>
      <c r="D281" s="177"/>
      <c r="E281" s="153"/>
      <c r="F281" s="178"/>
      <c r="G281" s="179"/>
      <c r="H281" s="180"/>
      <c r="I281" s="180"/>
      <c r="J281" s="181"/>
      <c r="K281" s="182"/>
      <c r="L281" s="177"/>
      <c r="M281" s="183"/>
      <c r="N281" s="184"/>
      <c r="O281" s="185"/>
      <c r="P281" s="184"/>
      <c r="Q281" s="184"/>
      <c r="R281" s="184"/>
      <c r="S281" s="184"/>
      <c r="T281" s="184"/>
    </row>
    <row r="282" spans="1:20" ht="12.75">
      <c r="A282" s="176"/>
      <c r="B282" s="153"/>
      <c r="C282" s="153"/>
      <c r="D282" s="177"/>
      <c r="E282" s="153"/>
      <c r="F282" s="178"/>
      <c r="G282" s="179"/>
      <c r="H282" s="180"/>
      <c r="I282" s="180"/>
      <c r="J282" s="181"/>
      <c r="K282" s="182"/>
      <c r="L282" s="177"/>
      <c r="M282" s="183"/>
      <c r="N282" s="184"/>
      <c r="O282" s="185"/>
      <c r="P282" s="184"/>
      <c r="Q282" s="184"/>
      <c r="R282" s="184"/>
      <c r="S282" s="184"/>
      <c r="T282" s="184"/>
    </row>
    <row r="283" spans="1:20" ht="12.75">
      <c r="A283" s="176"/>
      <c r="B283" s="153"/>
      <c r="C283" s="153"/>
      <c r="D283" s="177"/>
      <c r="E283" s="153"/>
      <c r="F283" s="178"/>
      <c r="G283" s="179"/>
      <c r="H283" s="180"/>
      <c r="I283" s="180"/>
      <c r="J283" s="181"/>
      <c r="K283" s="182"/>
      <c r="L283" s="177"/>
      <c r="M283" s="183"/>
      <c r="N283" s="184"/>
      <c r="O283" s="185"/>
      <c r="P283" s="184"/>
      <c r="Q283" s="184"/>
      <c r="R283" s="184"/>
      <c r="S283" s="184"/>
      <c r="T283" s="184"/>
    </row>
    <row r="284" spans="1:20" ht="12.75">
      <c r="A284" s="176"/>
      <c r="B284" s="153"/>
      <c r="C284" s="153"/>
      <c r="D284" s="177"/>
      <c r="E284" s="153"/>
      <c r="F284" s="178"/>
      <c r="G284" s="179"/>
      <c r="H284" s="180"/>
      <c r="I284" s="180"/>
      <c r="J284" s="181"/>
      <c r="K284" s="182"/>
      <c r="L284" s="177"/>
      <c r="M284" s="183"/>
      <c r="N284" s="184"/>
      <c r="O284" s="185"/>
      <c r="P284" s="184"/>
      <c r="Q284" s="184"/>
      <c r="R284" s="184"/>
      <c r="S284" s="184"/>
      <c r="T284" s="184"/>
    </row>
    <row r="285" spans="1:20" ht="12.75">
      <c r="A285" s="176"/>
      <c r="B285" s="153"/>
      <c r="C285" s="153"/>
      <c r="D285" s="177"/>
      <c r="E285" s="153"/>
      <c r="F285" s="178"/>
      <c r="G285" s="179"/>
      <c r="H285" s="180"/>
      <c r="I285" s="180"/>
      <c r="J285" s="181"/>
      <c r="K285" s="182"/>
      <c r="L285" s="177"/>
      <c r="M285" s="183"/>
      <c r="N285" s="184"/>
      <c r="O285" s="185"/>
      <c r="P285" s="184"/>
      <c r="Q285" s="184"/>
      <c r="R285" s="184"/>
      <c r="S285" s="184"/>
      <c r="T285" s="184"/>
    </row>
    <row r="286" spans="1:20" ht="12.75">
      <c r="A286" s="176"/>
      <c r="B286" s="153"/>
      <c r="C286" s="153"/>
      <c r="D286" s="177"/>
      <c r="E286" s="153"/>
      <c r="F286" s="178"/>
      <c r="G286" s="179"/>
      <c r="H286" s="180"/>
      <c r="I286" s="180"/>
      <c r="J286" s="181"/>
      <c r="K286" s="182"/>
      <c r="L286" s="177"/>
      <c r="M286" s="183"/>
      <c r="N286" s="184"/>
      <c r="O286" s="185"/>
      <c r="P286" s="184"/>
      <c r="Q286" s="184"/>
      <c r="R286" s="184"/>
      <c r="S286" s="184"/>
      <c r="T286" s="184"/>
    </row>
    <row r="287" spans="1:20" ht="12.75">
      <c r="A287" s="176"/>
      <c r="B287" s="153"/>
      <c r="C287" s="153"/>
      <c r="D287" s="177"/>
      <c r="E287" s="153"/>
      <c r="F287" s="178"/>
      <c r="G287" s="179"/>
      <c r="H287" s="180"/>
      <c r="I287" s="180"/>
      <c r="J287" s="181"/>
      <c r="K287" s="182"/>
      <c r="L287" s="177"/>
      <c r="M287" s="183"/>
      <c r="N287" s="184"/>
      <c r="O287" s="185"/>
      <c r="P287" s="184"/>
      <c r="Q287" s="184"/>
      <c r="R287" s="184"/>
      <c r="S287" s="184"/>
      <c r="T287" s="184"/>
    </row>
    <row r="288" spans="1:20" ht="12.75">
      <c r="A288" s="176"/>
      <c r="B288" s="153"/>
      <c r="C288" s="153"/>
      <c r="D288" s="177"/>
      <c r="E288" s="153"/>
      <c r="F288" s="178"/>
      <c r="G288" s="179"/>
      <c r="H288" s="180"/>
      <c r="I288" s="180"/>
      <c r="J288" s="181"/>
      <c r="K288" s="182"/>
      <c r="L288" s="177"/>
      <c r="M288" s="183"/>
      <c r="N288" s="184"/>
      <c r="O288" s="185"/>
      <c r="P288" s="184"/>
      <c r="Q288" s="184"/>
      <c r="R288" s="184"/>
      <c r="S288" s="184"/>
      <c r="T288" s="184"/>
    </row>
    <row r="289" spans="1:20" ht="12.75">
      <c r="A289" s="176"/>
      <c r="B289" s="153"/>
      <c r="C289" s="153"/>
      <c r="D289" s="177"/>
      <c r="E289" s="153"/>
      <c r="F289" s="178"/>
      <c r="G289" s="179"/>
      <c r="H289" s="180"/>
      <c r="I289" s="180"/>
      <c r="J289" s="181"/>
      <c r="K289" s="182"/>
      <c r="L289" s="177"/>
      <c r="M289" s="183"/>
      <c r="N289" s="184"/>
      <c r="O289" s="185"/>
      <c r="P289" s="184"/>
      <c r="Q289" s="184"/>
      <c r="R289" s="184"/>
      <c r="S289" s="184"/>
      <c r="T289" s="184"/>
    </row>
    <row r="290" spans="1:20" ht="12.75">
      <c r="A290" s="176"/>
      <c r="B290" s="153"/>
      <c r="C290" s="153"/>
      <c r="D290" s="177"/>
      <c r="E290" s="153"/>
      <c r="F290" s="178"/>
      <c r="G290" s="179"/>
      <c r="H290" s="180"/>
      <c r="I290" s="180"/>
      <c r="J290" s="181"/>
      <c r="K290" s="182"/>
      <c r="L290" s="177"/>
      <c r="M290" s="183"/>
      <c r="N290" s="184"/>
      <c r="O290" s="185"/>
      <c r="P290" s="184"/>
      <c r="Q290" s="184"/>
      <c r="R290" s="184"/>
      <c r="S290" s="184"/>
      <c r="T290" s="184"/>
    </row>
    <row r="291" spans="1:20" ht="12.75">
      <c r="A291" s="176"/>
      <c r="B291" s="153"/>
      <c r="C291" s="153"/>
      <c r="D291" s="177"/>
      <c r="E291" s="153"/>
      <c r="F291" s="178"/>
      <c r="G291" s="179"/>
      <c r="H291" s="180"/>
      <c r="I291" s="180"/>
      <c r="J291" s="181"/>
      <c r="K291" s="182"/>
      <c r="L291" s="177"/>
      <c r="M291" s="183"/>
      <c r="N291" s="184"/>
      <c r="O291" s="185"/>
      <c r="P291" s="184"/>
      <c r="Q291" s="184"/>
      <c r="R291" s="184"/>
      <c r="S291" s="184"/>
      <c r="T291" s="184"/>
    </row>
    <row r="292" spans="1:20" ht="12.75">
      <c r="A292" s="176"/>
      <c r="B292" s="153"/>
      <c r="C292" s="153"/>
      <c r="D292" s="177"/>
      <c r="E292" s="153"/>
      <c r="F292" s="178"/>
      <c r="G292" s="179"/>
      <c r="H292" s="180"/>
      <c r="I292" s="180"/>
      <c r="J292" s="181"/>
      <c r="K292" s="182"/>
      <c r="L292" s="177"/>
      <c r="M292" s="183"/>
      <c r="N292" s="184"/>
      <c r="O292" s="185"/>
      <c r="P292" s="184"/>
      <c r="Q292" s="184"/>
      <c r="R292" s="184"/>
      <c r="S292" s="184"/>
      <c r="T292" s="184"/>
    </row>
    <row r="293" spans="1:20" ht="12.75">
      <c r="A293" s="176"/>
      <c r="B293" s="153"/>
      <c r="C293" s="153"/>
      <c r="D293" s="177"/>
      <c r="E293" s="153"/>
      <c r="F293" s="178"/>
      <c r="G293" s="179"/>
      <c r="H293" s="180"/>
      <c r="I293" s="180"/>
      <c r="J293" s="181"/>
      <c r="K293" s="182"/>
      <c r="L293" s="177"/>
      <c r="M293" s="183"/>
      <c r="N293" s="184"/>
      <c r="O293" s="185"/>
      <c r="P293" s="184"/>
      <c r="Q293" s="184"/>
      <c r="R293" s="184"/>
      <c r="S293" s="184"/>
      <c r="T293" s="184"/>
    </row>
    <row r="294" spans="1:20" ht="12.75">
      <c r="A294" s="176"/>
      <c r="B294" s="153"/>
      <c r="C294" s="153"/>
      <c r="D294" s="177"/>
      <c r="E294" s="153"/>
      <c r="F294" s="178"/>
      <c r="G294" s="179"/>
      <c r="H294" s="180"/>
      <c r="I294" s="180"/>
      <c r="J294" s="181"/>
      <c r="K294" s="182"/>
      <c r="L294" s="177"/>
      <c r="M294" s="183"/>
      <c r="N294" s="184"/>
      <c r="O294" s="185"/>
      <c r="P294" s="184"/>
      <c r="Q294" s="184"/>
      <c r="R294" s="184"/>
      <c r="S294" s="184"/>
      <c r="T294" s="184"/>
    </row>
    <row r="295" spans="1:20" ht="12.75">
      <c r="A295" s="176"/>
      <c r="B295" s="153"/>
      <c r="C295" s="153"/>
      <c r="D295" s="177"/>
      <c r="E295" s="153"/>
      <c r="F295" s="178"/>
      <c r="G295" s="179"/>
      <c r="H295" s="180"/>
      <c r="I295" s="180"/>
      <c r="J295" s="181"/>
      <c r="K295" s="182"/>
      <c r="L295" s="177"/>
      <c r="M295" s="183"/>
      <c r="N295" s="184"/>
      <c r="O295" s="185"/>
      <c r="P295" s="184"/>
      <c r="Q295" s="184"/>
      <c r="R295" s="184"/>
      <c r="S295" s="184"/>
      <c r="T295" s="184"/>
    </row>
    <row r="296" spans="1:20" ht="12.75">
      <c r="A296" s="176"/>
      <c r="B296" s="153"/>
      <c r="C296" s="153"/>
      <c r="D296" s="177"/>
      <c r="E296" s="153"/>
      <c r="F296" s="178"/>
      <c r="G296" s="179"/>
      <c r="H296" s="180"/>
      <c r="I296" s="180"/>
      <c r="J296" s="181"/>
      <c r="K296" s="182"/>
      <c r="L296" s="177"/>
      <c r="M296" s="183"/>
      <c r="N296" s="184"/>
      <c r="O296" s="185"/>
      <c r="P296" s="184"/>
      <c r="Q296" s="184"/>
      <c r="R296" s="184"/>
      <c r="S296" s="184"/>
      <c r="T296" s="184"/>
    </row>
    <row r="297" spans="1:20" ht="12.75">
      <c r="A297" s="176"/>
      <c r="B297" s="153"/>
      <c r="C297" s="153"/>
      <c r="D297" s="177"/>
      <c r="E297" s="153"/>
      <c r="F297" s="178"/>
      <c r="G297" s="179"/>
      <c r="H297" s="180"/>
      <c r="I297" s="180"/>
      <c r="J297" s="181"/>
      <c r="K297" s="182"/>
      <c r="L297" s="177"/>
      <c r="M297" s="183"/>
      <c r="N297" s="184"/>
      <c r="O297" s="185"/>
      <c r="P297" s="184"/>
      <c r="Q297" s="184"/>
      <c r="R297" s="184"/>
      <c r="S297" s="184"/>
      <c r="T297" s="184"/>
    </row>
    <row r="298" spans="1:20" ht="12.75">
      <c r="A298" s="176"/>
      <c r="B298" s="153"/>
      <c r="C298" s="153"/>
      <c r="D298" s="177"/>
      <c r="E298" s="153"/>
      <c r="F298" s="178"/>
      <c r="G298" s="179"/>
      <c r="H298" s="180"/>
      <c r="I298" s="180"/>
      <c r="J298" s="181"/>
      <c r="K298" s="182"/>
      <c r="L298" s="177"/>
      <c r="M298" s="183"/>
      <c r="N298" s="184"/>
      <c r="O298" s="185"/>
      <c r="P298" s="184"/>
      <c r="Q298" s="184"/>
      <c r="R298" s="184"/>
      <c r="S298" s="184"/>
      <c r="T298" s="184"/>
    </row>
    <row r="299" spans="1:20" ht="12.75">
      <c r="A299" s="176"/>
      <c r="B299" s="153"/>
      <c r="C299" s="153"/>
      <c r="D299" s="177"/>
      <c r="E299" s="153"/>
      <c r="F299" s="178"/>
      <c r="G299" s="179"/>
      <c r="H299" s="180"/>
      <c r="I299" s="180"/>
      <c r="J299" s="181"/>
      <c r="K299" s="182"/>
      <c r="L299" s="177"/>
      <c r="M299" s="183"/>
      <c r="N299" s="184"/>
      <c r="O299" s="185"/>
      <c r="P299" s="184"/>
      <c r="Q299" s="184"/>
      <c r="R299" s="184"/>
      <c r="S299" s="184"/>
      <c r="T299" s="184"/>
    </row>
    <row r="300" spans="1:20" ht="12.75">
      <c r="A300" s="176"/>
      <c r="B300" s="153"/>
      <c r="C300" s="153"/>
      <c r="D300" s="177"/>
      <c r="E300" s="153"/>
      <c r="F300" s="178"/>
      <c r="G300" s="179"/>
      <c r="H300" s="180"/>
      <c r="I300" s="180"/>
      <c r="J300" s="181"/>
      <c r="K300" s="182"/>
      <c r="L300" s="177"/>
      <c r="M300" s="183"/>
      <c r="N300" s="184"/>
      <c r="O300" s="185"/>
      <c r="P300" s="184"/>
      <c r="Q300" s="184"/>
      <c r="R300" s="184"/>
      <c r="S300" s="184"/>
      <c r="T300" s="184"/>
    </row>
    <row r="301" spans="1:20" ht="12.75">
      <c r="A301" s="176"/>
      <c r="B301" s="153"/>
      <c r="C301" s="153"/>
      <c r="D301" s="177"/>
      <c r="E301" s="153"/>
      <c r="F301" s="178"/>
      <c r="G301" s="179"/>
      <c r="H301" s="180"/>
      <c r="I301" s="180"/>
      <c r="J301" s="181"/>
      <c r="K301" s="182"/>
      <c r="L301" s="177"/>
      <c r="M301" s="183"/>
      <c r="N301" s="184"/>
      <c r="O301" s="185"/>
      <c r="P301" s="184"/>
      <c r="Q301" s="184"/>
      <c r="R301" s="184"/>
      <c r="S301" s="184"/>
      <c r="T301" s="184"/>
    </row>
    <row r="302" spans="1:20" ht="12.75">
      <c r="A302" s="176"/>
      <c r="B302" s="153"/>
      <c r="C302" s="153"/>
      <c r="D302" s="177"/>
      <c r="E302" s="153"/>
      <c r="F302" s="178"/>
      <c r="G302" s="179"/>
      <c r="H302" s="180"/>
      <c r="I302" s="180"/>
      <c r="J302" s="181"/>
      <c r="K302" s="182"/>
      <c r="L302" s="177"/>
      <c r="M302" s="183"/>
      <c r="N302" s="184"/>
      <c r="O302" s="185"/>
      <c r="P302" s="184"/>
      <c r="Q302" s="184"/>
      <c r="R302" s="184"/>
      <c r="S302" s="184"/>
      <c r="T302" s="184"/>
    </row>
    <row r="303" spans="1:20" ht="12.75">
      <c r="A303" s="176"/>
      <c r="B303" s="153"/>
      <c r="C303" s="153"/>
      <c r="D303" s="177"/>
      <c r="E303" s="153"/>
      <c r="F303" s="178"/>
      <c r="G303" s="179"/>
      <c r="H303" s="180"/>
      <c r="I303" s="180"/>
      <c r="J303" s="181"/>
      <c r="K303" s="182"/>
      <c r="L303" s="177"/>
      <c r="M303" s="183"/>
      <c r="N303" s="184"/>
      <c r="O303" s="185"/>
      <c r="P303" s="184"/>
      <c r="Q303" s="184"/>
      <c r="R303" s="184"/>
      <c r="S303" s="184"/>
      <c r="T303" s="184"/>
    </row>
    <row r="304" spans="1:20" ht="12.75">
      <c r="A304" s="176"/>
      <c r="B304" s="153"/>
      <c r="C304" s="153"/>
      <c r="D304" s="177"/>
      <c r="E304" s="153"/>
      <c r="F304" s="178"/>
      <c r="G304" s="179"/>
      <c r="H304" s="180"/>
      <c r="I304" s="180"/>
      <c r="J304" s="181"/>
      <c r="K304" s="182"/>
      <c r="L304" s="177"/>
      <c r="M304" s="183"/>
      <c r="N304" s="184"/>
      <c r="O304" s="185"/>
      <c r="P304" s="184"/>
      <c r="Q304" s="184"/>
      <c r="R304" s="184"/>
      <c r="S304" s="184"/>
      <c r="T304" s="184"/>
    </row>
    <row r="305" spans="1:20" ht="12.75">
      <c r="A305" s="176"/>
      <c r="B305" s="153"/>
      <c r="C305" s="153"/>
      <c r="D305" s="177"/>
      <c r="E305" s="153"/>
      <c r="F305" s="178"/>
      <c r="G305" s="179"/>
      <c r="H305" s="180"/>
      <c r="I305" s="180"/>
      <c r="J305" s="181"/>
      <c r="K305" s="182"/>
      <c r="L305" s="177"/>
      <c r="M305" s="183"/>
      <c r="N305" s="184"/>
      <c r="O305" s="185"/>
      <c r="P305" s="184"/>
      <c r="Q305" s="184"/>
      <c r="R305" s="184"/>
      <c r="S305" s="184"/>
      <c r="T305" s="184"/>
    </row>
    <row r="306" spans="1:20" ht="12.75">
      <c r="A306" s="176"/>
      <c r="B306" s="153"/>
      <c r="C306" s="153"/>
      <c r="D306" s="177"/>
      <c r="E306" s="153"/>
      <c r="F306" s="178"/>
      <c r="G306" s="179"/>
      <c r="H306" s="180"/>
      <c r="I306" s="180"/>
      <c r="J306" s="181"/>
      <c r="K306" s="182"/>
      <c r="L306" s="177"/>
      <c r="M306" s="183"/>
      <c r="N306" s="184"/>
      <c r="O306" s="185"/>
      <c r="P306" s="184"/>
      <c r="Q306" s="184"/>
      <c r="R306" s="184"/>
      <c r="S306" s="184"/>
      <c r="T306" s="184"/>
    </row>
    <row r="307" spans="1:20" ht="12.75">
      <c r="A307" s="176"/>
      <c r="B307" s="153"/>
      <c r="C307" s="153"/>
      <c r="D307" s="177"/>
      <c r="E307" s="153"/>
      <c r="F307" s="178"/>
      <c r="G307" s="179"/>
      <c r="H307" s="180"/>
      <c r="I307" s="180"/>
      <c r="J307" s="181"/>
      <c r="K307" s="182"/>
      <c r="L307" s="177"/>
      <c r="M307" s="183"/>
      <c r="N307" s="184"/>
      <c r="O307" s="185"/>
      <c r="P307" s="184"/>
      <c r="Q307" s="184"/>
      <c r="R307" s="184"/>
      <c r="S307" s="184"/>
      <c r="T307" s="184"/>
    </row>
    <row r="308" spans="1:20" ht="12.75">
      <c r="A308" s="176"/>
      <c r="B308" s="153"/>
      <c r="C308" s="153"/>
      <c r="D308" s="177"/>
      <c r="E308" s="153"/>
      <c r="F308" s="178"/>
      <c r="G308" s="179"/>
      <c r="H308" s="180"/>
      <c r="I308" s="180"/>
      <c r="J308" s="181"/>
      <c r="K308" s="182"/>
      <c r="L308" s="177"/>
      <c r="M308" s="183"/>
      <c r="N308" s="184"/>
      <c r="O308" s="185"/>
      <c r="P308" s="184"/>
      <c r="Q308" s="184"/>
      <c r="R308" s="184"/>
      <c r="S308" s="184"/>
      <c r="T308" s="184"/>
    </row>
    <row r="309" spans="1:20" ht="12.75">
      <c r="A309" s="176"/>
      <c r="B309" s="153"/>
      <c r="C309" s="153"/>
      <c r="D309" s="177"/>
      <c r="E309" s="153"/>
      <c r="F309" s="178"/>
      <c r="G309" s="179"/>
      <c r="H309" s="180"/>
      <c r="I309" s="180"/>
      <c r="J309" s="181"/>
      <c r="K309" s="182"/>
      <c r="L309" s="177"/>
      <c r="M309" s="183"/>
      <c r="N309" s="184"/>
      <c r="O309" s="185"/>
      <c r="P309" s="184"/>
      <c r="Q309" s="184"/>
      <c r="R309" s="184"/>
      <c r="S309" s="184"/>
      <c r="T309" s="184"/>
    </row>
    <row r="310" spans="1:20" ht="12.75">
      <c r="A310" s="176"/>
      <c r="B310" s="153"/>
      <c r="C310" s="153"/>
      <c r="D310" s="177"/>
      <c r="E310" s="153"/>
      <c r="F310" s="178"/>
      <c r="G310" s="179"/>
      <c r="H310" s="180"/>
      <c r="I310" s="180"/>
      <c r="J310" s="181"/>
      <c r="K310" s="182"/>
      <c r="L310" s="177"/>
      <c r="M310" s="183"/>
      <c r="N310" s="184"/>
      <c r="O310" s="185"/>
      <c r="P310" s="184"/>
      <c r="Q310" s="184"/>
      <c r="R310" s="184"/>
      <c r="S310" s="184"/>
      <c r="T310" s="184"/>
    </row>
    <row r="311" spans="1:20" ht="12.75">
      <c r="A311" s="176"/>
      <c r="B311" s="153"/>
      <c r="C311" s="153"/>
      <c r="D311" s="177"/>
      <c r="E311" s="153"/>
      <c r="F311" s="178"/>
      <c r="G311" s="179"/>
      <c r="H311" s="180"/>
      <c r="I311" s="180"/>
      <c r="J311" s="181"/>
      <c r="K311" s="182"/>
      <c r="L311" s="177"/>
      <c r="M311" s="183"/>
      <c r="N311" s="184"/>
      <c r="O311" s="185"/>
      <c r="P311" s="184"/>
      <c r="Q311" s="184"/>
      <c r="R311" s="184"/>
      <c r="S311" s="184"/>
      <c r="T311" s="184"/>
    </row>
    <row r="312" spans="1:20" ht="12.75">
      <c r="A312" s="176"/>
      <c r="B312" s="153"/>
      <c r="C312" s="153"/>
      <c r="D312" s="177"/>
      <c r="E312" s="153"/>
      <c r="F312" s="178"/>
      <c r="G312" s="179"/>
      <c r="H312" s="180"/>
      <c r="I312" s="180"/>
      <c r="J312" s="181"/>
      <c r="K312" s="182"/>
      <c r="L312" s="177"/>
      <c r="M312" s="183"/>
      <c r="N312" s="184"/>
      <c r="O312" s="185"/>
      <c r="P312" s="184"/>
      <c r="Q312" s="184"/>
      <c r="R312" s="184"/>
      <c r="S312" s="184"/>
      <c r="T312" s="184"/>
    </row>
    <row r="313" spans="1:20" ht="12.75">
      <c r="A313" s="176"/>
      <c r="B313" s="153"/>
      <c r="C313" s="153"/>
      <c r="D313" s="177"/>
      <c r="E313" s="153"/>
      <c r="F313" s="178"/>
      <c r="G313" s="179"/>
      <c r="H313" s="180"/>
      <c r="I313" s="180"/>
      <c r="J313" s="181"/>
      <c r="K313" s="182"/>
      <c r="L313" s="177"/>
      <c r="M313" s="183"/>
      <c r="N313" s="184"/>
      <c r="O313" s="185"/>
      <c r="P313" s="184"/>
      <c r="Q313" s="184"/>
      <c r="R313" s="184"/>
      <c r="S313" s="184"/>
      <c r="T313" s="184"/>
    </row>
    <row r="314" spans="1:20" ht="12.75">
      <c r="A314" s="176"/>
      <c r="B314" s="153"/>
      <c r="C314" s="153"/>
      <c r="D314" s="177"/>
      <c r="E314" s="153"/>
      <c r="F314" s="178"/>
      <c r="G314" s="179"/>
      <c r="H314" s="180"/>
      <c r="I314" s="180"/>
      <c r="J314" s="181"/>
      <c r="K314" s="182"/>
      <c r="L314" s="177"/>
      <c r="M314" s="183"/>
      <c r="N314" s="184"/>
      <c r="O314" s="185"/>
      <c r="P314" s="184"/>
      <c r="Q314" s="184"/>
      <c r="R314" s="184"/>
      <c r="S314" s="184"/>
      <c r="T314" s="184"/>
    </row>
    <row r="315" spans="1:20" ht="12.75">
      <c r="A315" s="176"/>
      <c r="B315" s="153"/>
      <c r="C315" s="153"/>
      <c r="D315" s="177"/>
      <c r="E315" s="153"/>
      <c r="F315" s="178"/>
      <c r="G315" s="179"/>
      <c r="H315" s="180"/>
      <c r="I315" s="180"/>
      <c r="J315" s="181"/>
      <c r="K315" s="182"/>
      <c r="L315" s="177"/>
      <c r="M315" s="183"/>
      <c r="N315" s="184"/>
      <c r="O315" s="185"/>
      <c r="P315" s="184"/>
      <c r="Q315" s="184"/>
      <c r="R315" s="184"/>
      <c r="S315" s="184"/>
      <c r="T315" s="184"/>
    </row>
    <row r="316" spans="1:20" ht="12.75">
      <c r="A316" s="176"/>
      <c r="B316" s="153"/>
      <c r="C316" s="153"/>
      <c r="D316" s="177"/>
      <c r="E316" s="153"/>
      <c r="F316" s="178"/>
      <c r="G316" s="179"/>
      <c r="H316" s="180"/>
      <c r="I316" s="180"/>
      <c r="J316" s="181"/>
      <c r="K316" s="182"/>
      <c r="L316" s="177"/>
      <c r="M316" s="183"/>
      <c r="N316" s="184"/>
      <c r="O316" s="185"/>
      <c r="P316" s="184"/>
      <c r="Q316" s="184"/>
      <c r="R316" s="184"/>
      <c r="S316" s="184"/>
      <c r="T316" s="184"/>
    </row>
    <row r="317" spans="1:20" ht="12.75">
      <c r="A317" s="176"/>
      <c r="B317" s="153"/>
      <c r="C317" s="153"/>
      <c r="D317" s="177"/>
      <c r="E317" s="153"/>
      <c r="F317" s="178"/>
      <c r="G317" s="179"/>
      <c r="H317" s="180"/>
      <c r="I317" s="180"/>
      <c r="J317" s="181"/>
      <c r="K317" s="182"/>
      <c r="L317" s="177"/>
      <c r="M317" s="183"/>
      <c r="N317" s="184"/>
      <c r="O317" s="185"/>
      <c r="P317" s="184"/>
      <c r="Q317" s="184"/>
      <c r="R317" s="184"/>
      <c r="S317" s="184"/>
      <c r="T317" s="184"/>
    </row>
    <row r="318" spans="1:20" ht="12.75">
      <c r="A318" s="176"/>
      <c r="B318" s="153"/>
      <c r="C318" s="153"/>
      <c r="D318" s="177"/>
      <c r="E318" s="153"/>
      <c r="F318" s="178"/>
      <c r="G318" s="179"/>
      <c r="H318" s="180"/>
      <c r="I318" s="180"/>
      <c r="J318" s="181"/>
      <c r="K318" s="182"/>
      <c r="L318" s="177"/>
      <c r="M318" s="183"/>
      <c r="N318" s="184"/>
      <c r="O318" s="185"/>
      <c r="P318" s="184"/>
      <c r="Q318" s="184"/>
      <c r="R318" s="184"/>
      <c r="S318" s="184"/>
      <c r="T318" s="184"/>
    </row>
    <row r="319" spans="1:20" ht="12.75">
      <c r="A319" s="176"/>
      <c r="B319" s="153"/>
      <c r="C319" s="153"/>
      <c r="D319" s="177"/>
      <c r="E319" s="153"/>
      <c r="F319" s="178"/>
      <c r="G319" s="179"/>
      <c r="H319" s="180"/>
      <c r="I319" s="180"/>
      <c r="J319" s="181"/>
      <c r="K319" s="182"/>
      <c r="L319" s="177"/>
      <c r="M319" s="183"/>
      <c r="N319" s="184"/>
      <c r="O319" s="185"/>
      <c r="P319" s="184"/>
      <c r="Q319" s="184"/>
      <c r="R319" s="184"/>
      <c r="S319" s="184"/>
      <c r="T319" s="184"/>
    </row>
    <row r="320" spans="1:20" ht="12.75">
      <c r="A320" s="176"/>
      <c r="B320" s="153"/>
      <c r="C320" s="153"/>
      <c r="D320" s="177"/>
      <c r="E320" s="153"/>
      <c r="F320" s="178"/>
      <c r="G320" s="179"/>
      <c r="H320" s="180"/>
      <c r="I320" s="180"/>
      <c r="J320" s="181"/>
      <c r="K320" s="182"/>
      <c r="L320" s="177"/>
      <c r="M320" s="183"/>
      <c r="N320" s="184"/>
      <c r="O320" s="185"/>
      <c r="P320" s="184"/>
      <c r="Q320" s="184"/>
      <c r="R320" s="184"/>
      <c r="S320" s="184"/>
      <c r="T320" s="184"/>
    </row>
    <row r="321" spans="1:20" ht="12.75">
      <c r="A321" s="176"/>
      <c r="B321" s="153"/>
      <c r="C321" s="153"/>
      <c r="D321" s="177"/>
      <c r="E321" s="153"/>
      <c r="F321" s="178"/>
      <c r="G321" s="179"/>
      <c r="H321" s="180"/>
      <c r="I321" s="180"/>
      <c r="J321" s="181"/>
      <c r="K321" s="182"/>
      <c r="L321" s="177"/>
      <c r="M321" s="183"/>
      <c r="N321" s="184"/>
      <c r="O321" s="185"/>
      <c r="P321" s="184"/>
      <c r="Q321" s="184"/>
      <c r="R321" s="184"/>
      <c r="S321" s="184"/>
      <c r="T321" s="184"/>
    </row>
    <row r="322" spans="1:20" ht="12.75">
      <c r="A322" s="176"/>
      <c r="B322" s="153"/>
      <c r="C322" s="153"/>
      <c r="D322" s="177"/>
      <c r="E322" s="153"/>
      <c r="F322" s="178"/>
      <c r="G322" s="179"/>
      <c r="H322" s="180"/>
      <c r="I322" s="180"/>
      <c r="J322" s="181"/>
      <c r="K322" s="182"/>
      <c r="L322" s="177"/>
      <c r="M322" s="183"/>
      <c r="N322" s="184"/>
      <c r="O322" s="185"/>
      <c r="P322" s="184"/>
      <c r="Q322" s="184"/>
      <c r="R322" s="184"/>
      <c r="S322" s="184"/>
      <c r="T322" s="184"/>
    </row>
    <row r="323" spans="1:20" ht="12.75">
      <c r="A323" s="176"/>
      <c r="B323" s="153"/>
      <c r="C323" s="153"/>
      <c r="D323" s="177"/>
      <c r="E323" s="153"/>
      <c r="F323" s="178"/>
      <c r="G323" s="179"/>
      <c r="H323" s="180"/>
      <c r="I323" s="180"/>
      <c r="J323" s="181"/>
      <c r="K323" s="182"/>
      <c r="L323" s="177"/>
      <c r="M323" s="183"/>
      <c r="N323" s="184"/>
      <c r="O323" s="185"/>
      <c r="P323" s="184"/>
      <c r="Q323" s="184"/>
      <c r="R323" s="184"/>
      <c r="S323" s="184"/>
      <c r="T323" s="184"/>
    </row>
    <row r="324" spans="1:20" ht="12.75">
      <c r="A324" s="176"/>
      <c r="B324" s="153"/>
      <c r="C324" s="153"/>
      <c r="D324" s="177"/>
      <c r="E324" s="153"/>
      <c r="F324" s="178"/>
      <c r="G324" s="179"/>
      <c r="H324" s="180"/>
      <c r="I324" s="180"/>
      <c r="J324" s="181"/>
      <c r="K324" s="182"/>
      <c r="L324" s="177"/>
      <c r="M324" s="183"/>
      <c r="N324" s="184"/>
      <c r="O324" s="185"/>
      <c r="P324" s="184"/>
      <c r="Q324" s="184"/>
      <c r="R324" s="184"/>
      <c r="S324" s="184"/>
      <c r="T324" s="184"/>
    </row>
    <row r="325" spans="1:20" ht="12.75">
      <c r="A325" s="176"/>
      <c r="B325" s="153"/>
      <c r="C325" s="153"/>
      <c r="D325" s="177"/>
      <c r="E325" s="153"/>
      <c r="F325" s="178"/>
      <c r="G325" s="179"/>
      <c r="H325" s="180"/>
      <c r="I325" s="180"/>
      <c r="J325" s="181"/>
      <c r="K325" s="182"/>
      <c r="L325" s="177"/>
      <c r="M325" s="183"/>
      <c r="N325" s="184"/>
      <c r="O325" s="185"/>
      <c r="P325" s="184"/>
      <c r="Q325" s="184"/>
      <c r="R325" s="184"/>
      <c r="S325" s="184"/>
      <c r="T325" s="184"/>
    </row>
    <row r="326" spans="1:20" ht="12.75">
      <c r="A326" s="176"/>
      <c r="B326" s="153"/>
      <c r="C326" s="153"/>
      <c r="D326" s="177"/>
      <c r="E326" s="153"/>
      <c r="F326" s="178"/>
      <c r="G326" s="179"/>
      <c r="H326" s="180"/>
      <c r="I326" s="180"/>
      <c r="J326" s="181"/>
      <c r="K326" s="182"/>
      <c r="L326" s="177"/>
      <c r="M326" s="183"/>
      <c r="N326" s="184"/>
      <c r="O326" s="185"/>
      <c r="P326" s="184"/>
      <c r="Q326" s="184"/>
      <c r="R326" s="184"/>
      <c r="S326" s="184"/>
      <c r="T326" s="184"/>
    </row>
    <row r="327" spans="1:20" ht="12.75">
      <c r="A327" s="176"/>
      <c r="B327" s="153"/>
      <c r="C327" s="153"/>
      <c r="D327" s="177"/>
      <c r="E327" s="153"/>
      <c r="F327" s="178"/>
      <c r="G327" s="179"/>
      <c r="H327" s="180"/>
      <c r="I327" s="180"/>
      <c r="J327" s="181"/>
      <c r="K327" s="182"/>
      <c r="L327" s="177"/>
      <c r="M327" s="183"/>
      <c r="N327" s="184"/>
      <c r="O327" s="185"/>
      <c r="P327" s="184"/>
      <c r="Q327" s="184"/>
      <c r="R327" s="184"/>
      <c r="S327" s="184"/>
      <c r="T327" s="184"/>
    </row>
    <row r="328" spans="1:20" ht="12.75">
      <c r="A328" s="176"/>
      <c r="B328" s="153"/>
      <c r="C328" s="153"/>
      <c r="D328" s="177"/>
      <c r="E328" s="153"/>
      <c r="F328" s="178"/>
      <c r="G328" s="179"/>
      <c r="H328" s="180"/>
      <c r="I328" s="180"/>
      <c r="J328" s="181"/>
      <c r="K328" s="182"/>
      <c r="L328" s="177"/>
      <c r="M328" s="183"/>
      <c r="N328" s="184"/>
      <c r="O328" s="185"/>
      <c r="P328" s="184"/>
      <c r="Q328" s="184"/>
      <c r="R328" s="184"/>
      <c r="S328" s="184"/>
      <c r="T328" s="184"/>
    </row>
    <row r="329" spans="1:20" ht="12.75">
      <c r="A329" s="176"/>
      <c r="B329" s="153"/>
      <c r="C329" s="153"/>
      <c r="D329" s="177"/>
      <c r="E329" s="153"/>
      <c r="F329" s="178"/>
      <c r="G329" s="179"/>
      <c r="H329" s="180"/>
      <c r="I329" s="180"/>
      <c r="J329" s="181"/>
      <c r="K329" s="182"/>
      <c r="L329" s="177"/>
      <c r="M329" s="183"/>
      <c r="N329" s="184"/>
      <c r="O329" s="185"/>
      <c r="P329" s="184"/>
      <c r="Q329" s="184"/>
      <c r="R329" s="184"/>
      <c r="S329" s="184"/>
      <c r="T329" s="184"/>
    </row>
    <row r="330" spans="1:20" ht="12.75">
      <c r="A330" s="176"/>
      <c r="B330" s="153"/>
      <c r="C330" s="153"/>
      <c r="D330" s="177"/>
      <c r="E330" s="153"/>
      <c r="F330" s="178"/>
      <c r="G330" s="179"/>
      <c r="H330" s="180"/>
      <c r="I330" s="180"/>
      <c r="J330" s="181"/>
      <c r="K330" s="182"/>
      <c r="L330" s="177"/>
      <c r="M330" s="183"/>
      <c r="N330" s="184"/>
      <c r="O330" s="185"/>
      <c r="P330" s="184"/>
      <c r="Q330" s="184"/>
      <c r="R330" s="184"/>
      <c r="S330" s="184"/>
      <c r="T330" s="184"/>
    </row>
    <row r="331" spans="1:20" ht="12.75">
      <c r="A331" s="176"/>
      <c r="B331" s="153"/>
      <c r="C331" s="153"/>
      <c r="D331" s="177"/>
      <c r="E331" s="153"/>
      <c r="F331" s="178"/>
      <c r="G331" s="179"/>
      <c r="H331" s="180"/>
      <c r="I331" s="180"/>
      <c r="J331" s="181"/>
      <c r="K331" s="182"/>
      <c r="L331" s="177"/>
      <c r="M331" s="183"/>
      <c r="N331" s="184"/>
      <c r="O331" s="185"/>
      <c r="P331" s="184"/>
      <c r="Q331" s="184"/>
      <c r="R331" s="184"/>
      <c r="S331" s="184"/>
      <c r="T331" s="184"/>
    </row>
    <row r="332" spans="1:20" ht="12.75">
      <c r="A332" s="176"/>
      <c r="B332" s="153"/>
      <c r="C332" s="153"/>
      <c r="D332" s="177"/>
      <c r="E332" s="153"/>
      <c r="F332" s="178"/>
      <c r="G332" s="179"/>
      <c r="H332" s="180"/>
      <c r="I332" s="180"/>
      <c r="J332" s="181"/>
      <c r="K332" s="182"/>
      <c r="L332" s="177"/>
      <c r="M332" s="183"/>
      <c r="N332" s="184"/>
      <c r="O332" s="185"/>
      <c r="P332" s="184"/>
      <c r="Q332" s="184"/>
      <c r="R332" s="184"/>
      <c r="S332" s="184"/>
      <c r="T332" s="184"/>
    </row>
    <row r="333" spans="1:20" ht="12.75">
      <c r="A333" s="176"/>
      <c r="B333" s="153"/>
      <c r="C333" s="153"/>
      <c r="D333" s="177"/>
      <c r="E333" s="153"/>
      <c r="F333" s="178"/>
      <c r="G333" s="179"/>
      <c r="H333" s="180"/>
      <c r="I333" s="180"/>
      <c r="J333" s="181"/>
      <c r="K333" s="182"/>
      <c r="L333" s="177"/>
      <c r="M333" s="183"/>
      <c r="N333" s="184"/>
      <c r="O333" s="185"/>
      <c r="P333" s="184"/>
      <c r="Q333" s="184"/>
      <c r="R333" s="184"/>
      <c r="S333" s="184"/>
      <c r="T333" s="184"/>
    </row>
    <row r="334" spans="1:20" ht="12.75">
      <c r="A334" s="176"/>
      <c r="B334" s="153"/>
      <c r="C334" s="153"/>
      <c r="D334" s="177"/>
      <c r="E334" s="153"/>
      <c r="F334" s="178"/>
      <c r="G334" s="179"/>
      <c r="H334" s="180"/>
      <c r="I334" s="180"/>
      <c r="J334" s="181"/>
      <c r="K334" s="182"/>
      <c r="L334" s="177"/>
      <c r="M334" s="183"/>
      <c r="N334" s="184"/>
      <c r="O334" s="185"/>
      <c r="P334" s="184"/>
      <c r="Q334" s="184"/>
      <c r="R334" s="184"/>
      <c r="S334" s="184"/>
      <c r="T334" s="184"/>
    </row>
    <row r="335" spans="1:20" ht="12.75">
      <c r="A335" s="176"/>
      <c r="B335" s="153"/>
      <c r="C335" s="153"/>
      <c r="D335" s="177"/>
      <c r="E335" s="153"/>
      <c r="F335" s="178"/>
      <c r="G335" s="179"/>
      <c r="H335" s="180"/>
      <c r="I335" s="180"/>
      <c r="J335" s="181"/>
      <c r="K335" s="182"/>
      <c r="L335" s="177"/>
      <c r="M335" s="183"/>
      <c r="N335" s="184"/>
      <c r="O335" s="185"/>
      <c r="P335" s="184"/>
      <c r="Q335" s="184"/>
      <c r="R335" s="184"/>
      <c r="S335" s="184"/>
      <c r="T335" s="184"/>
    </row>
    <row r="336" spans="1:20" ht="12.75">
      <c r="A336" s="176"/>
      <c r="B336" s="153"/>
      <c r="C336" s="153"/>
      <c r="D336" s="177"/>
      <c r="E336" s="153"/>
      <c r="F336" s="178"/>
      <c r="G336" s="179"/>
      <c r="H336" s="180"/>
      <c r="I336" s="180"/>
      <c r="J336" s="181"/>
      <c r="K336" s="182"/>
      <c r="L336" s="177"/>
      <c r="M336" s="183"/>
      <c r="N336" s="184"/>
      <c r="O336" s="185"/>
      <c r="P336" s="184"/>
      <c r="Q336" s="184"/>
      <c r="R336" s="184"/>
      <c r="S336" s="184"/>
      <c r="T336" s="184"/>
    </row>
    <row r="337" spans="1:20" ht="12.75">
      <c r="A337" s="176"/>
      <c r="B337" s="153"/>
      <c r="C337" s="153"/>
      <c r="D337" s="177"/>
      <c r="E337" s="153"/>
      <c r="F337" s="178"/>
      <c r="G337" s="179"/>
      <c r="H337" s="180"/>
      <c r="I337" s="180"/>
      <c r="J337" s="181"/>
      <c r="K337" s="182"/>
      <c r="L337" s="177"/>
      <c r="M337" s="183"/>
      <c r="N337" s="184"/>
      <c r="O337" s="185"/>
      <c r="P337" s="184"/>
      <c r="Q337" s="184"/>
      <c r="R337" s="184"/>
      <c r="S337" s="184"/>
      <c r="T337" s="184"/>
    </row>
    <row r="338" spans="1:20" ht="12.75">
      <c r="A338" s="176"/>
      <c r="B338" s="153"/>
      <c r="C338" s="153"/>
      <c r="D338" s="177"/>
      <c r="E338" s="153"/>
      <c r="F338" s="178"/>
      <c r="G338" s="179"/>
      <c r="H338" s="180"/>
      <c r="I338" s="180"/>
      <c r="J338" s="181"/>
      <c r="K338" s="182"/>
      <c r="L338" s="177"/>
      <c r="M338" s="183"/>
      <c r="N338" s="184"/>
      <c r="O338" s="185"/>
      <c r="P338" s="184"/>
      <c r="Q338" s="184"/>
      <c r="R338" s="184"/>
      <c r="S338" s="184"/>
      <c r="T338" s="184"/>
    </row>
    <row r="339" spans="1:20" ht="12.75">
      <c r="A339" s="176"/>
      <c r="B339" s="153"/>
      <c r="C339" s="153"/>
      <c r="D339" s="177"/>
      <c r="E339" s="153"/>
      <c r="F339" s="178"/>
      <c r="G339" s="179"/>
      <c r="H339" s="180"/>
      <c r="I339" s="180"/>
      <c r="J339" s="181"/>
      <c r="K339" s="182"/>
      <c r="L339" s="177"/>
      <c r="M339" s="183"/>
      <c r="N339" s="184"/>
      <c r="O339" s="185"/>
      <c r="P339" s="184"/>
      <c r="Q339" s="184"/>
      <c r="R339" s="184"/>
      <c r="S339" s="184"/>
      <c r="T339" s="184"/>
    </row>
    <row r="340" spans="1:20" ht="12.75">
      <c r="A340" s="176"/>
      <c r="B340" s="153"/>
      <c r="C340" s="153"/>
      <c r="D340" s="177"/>
      <c r="E340" s="153"/>
      <c r="F340" s="178"/>
      <c r="G340" s="179"/>
      <c r="H340" s="180"/>
      <c r="I340" s="180"/>
      <c r="J340" s="181"/>
      <c r="K340" s="182"/>
      <c r="L340" s="177"/>
      <c r="M340" s="183"/>
      <c r="N340" s="184"/>
      <c r="O340" s="185"/>
      <c r="P340" s="184"/>
      <c r="Q340" s="184"/>
      <c r="R340" s="184"/>
      <c r="S340" s="184"/>
      <c r="T340" s="184"/>
    </row>
    <row r="341" spans="1:20" ht="12.75">
      <c r="A341" s="176"/>
      <c r="B341" s="153"/>
      <c r="C341" s="153"/>
      <c r="D341" s="177"/>
      <c r="E341" s="153"/>
      <c r="F341" s="178"/>
      <c r="G341" s="179"/>
      <c r="H341" s="180"/>
      <c r="I341" s="180"/>
      <c r="J341" s="181"/>
      <c r="K341" s="182"/>
      <c r="L341" s="177"/>
      <c r="M341" s="183"/>
      <c r="N341" s="184"/>
      <c r="O341" s="185"/>
      <c r="P341" s="184"/>
      <c r="Q341" s="184"/>
      <c r="R341" s="184"/>
      <c r="S341" s="184"/>
      <c r="T341" s="184"/>
    </row>
    <row r="342" spans="1:20" ht="12.75">
      <c r="A342" s="176"/>
      <c r="B342" s="153"/>
      <c r="C342" s="153"/>
      <c r="D342" s="177"/>
      <c r="E342" s="153"/>
      <c r="F342" s="178"/>
      <c r="G342" s="179"/>
      <c r="H342" s="180"/>
      <c r="I342" s="180"/>
      <c r="J342" s="181"/>
      <c r="K342" s="182"/>
      <c r="L342" s="177"/>
      <c r="M342" s="183"/>
      <c r="N342" s="184"/>
      <c r="O342" s="185"/>
      <c r="P342" s="184"/>
      <c r="Q342" s="184"/>
      <c r="R342" s="184"/>
      <c r="S342" s="184"/>
      <c r="T342" s="184"/>
    </row>
    <row r="343" spans="1:20" ht="12.75">
      <c r="A343" s="176"/>
      <c r="B343" s="153"/>
      <c r="C343" s="153"/>
      <c r="D343" s="177"/>
      <c r="E343" s="153"/>
      <c r="F343" s="178"/>
      <c r="G343" s="179"/>
      <c r="H343" s="180"/>
      <c r="I343" s="180"/>
      <c r="J343" s="181"/>
      <c r="K343" s="182"/>
      <c r="L343" s="177"/>
      <c r="M343" s="183"/>
      <c r="N343" s="184"/>
      <c r="O343" s="185"/>
      <c r="P343" s="184"/>
      <c r="Q343" s="184"/>
      <c r="R343" s="184"/>
      <c r="S343" s="184"/>
      <c r="T343" s="184"/>
    </row>
    <row r="344" spans="1:20" ht="12.75">
      <c r="A344" s="176"/>
      <c r="B344" s="153"/>
      <c r="C344" s="153"/>
      <c r="D344" s="177"/>
      <c r="E344" s="153"/>
      <c r="F344" s="178"/>
      <c r="G344" s="179"/>
      <c r="H344" s="180"/>
      <c r="I344" s="180"/>
      <c r="J344" s="181"/>
      <c r="K344" s="182"/>
      <c r="L344" s="177"/>
      <c r="M344" s="183"/>
      <c r="N344" s="184"/>
      <c r="O344" s="185"/>
      <c r="P344" s="184"/>
      <c r="Q344" s="184"/>
      <c r="R344" s="184"/>
      <c r="S344" s="184"/>
      <c r="T344" s="184"/>
    </row>
    <row r="345" spans="1:20" ht="12.75">
      <c r="A345" s="176"/>
      <c r="B345" s="153"/>
      <c r="C345" s="153"/>
      <c r="D345" s="177"/>
      <c r="E345" s="153"/>
      <c r="F345" s="178"/>
      <c r="G345" s="179"/>
      <c r="H345" s="180"/>
      <c r="I345" s="180"/>
      <c r="J345" s="181"/>
      <c r="K345" s="182"/>
      <c r="L345" s="177"/>
      <c r="M345" s="183"/>
      <c r="N345" s="184"/>
      <c r="O345" s="185"/>
      <c r="P345" s="184"/>
      <c r="Q345" s="184"/>
      <c r="R345" s="184"/>
      <c r="S345" s="184"/>
      <c r="T345" s="184"/>
    </row>
    <row r="346" spans="1:20" ht="12.75">
      <c r="A346" s="176"/>
      <c r="B346" s="153"/>
      <c r="C346" s="153"/>
      <c r="D346" s="177"/>
      <c r="E346" s="153"/>
      <c r="F346" s="178"/>
      <c r="G346" s="179"/>
      <c r="H346" s="180"/>
      <c r="I346" s="180"/>
      <c r="J346" s="181"/>
      <c r="K346" s="182"/>
      <c r="L346" s="177"/>
      <c r="M346" s="183"/>
      <c r="N346" s="184"/>
      <c r="O346" s="185"/>
      <c r="P346" s="184"/>
      <c r="Q346" s="184"/>
      <c r="R346" s="184"/>
      <c r="S346" s="184"/>
      <c r="T346" s="184"/>
    </row>
    <row r="347" spans="1:20" ht="12.75">
      <c r="A347" s="176"/>
      <c r="B347" s="153"/>
      <c r="C347" s="153"/>
      <c r="D347" s="177"/>
      <c r="E347" s="153"/>
      <c r="F347" s="178"/>
      <c r="G347" s="179"/>
      <c r="H347" s="180"/>
      <c r="I347" s="180"/>
      <c r="J347" s="181"/>
      <c r="K347" s="182"/>
      <c r="L347" s="177"/>
      <c r="M347" s="183"/>
      <c r="N347" s="184"/>
      <c r="O347" s="185"/>
      <c r="P347" s="184"/>
      <c r="Q347" s="184"/>
      <c r="R347" s="184"/>
      <c r="S347" s="184"/>
      <c r="T347" s="184"/>
    </row>
    <row r="348" spans="1:20" ht="12.75">
      <c r="A348" s="176"/>
      <c r="B348" s="153"/>
      <c r="C348" s="153"/>
      <c r="D348" s="177"/>
      <c r="E348" s="153"/>
      <c r="F348" s="178"/>
      <c r="G348" s="179"/>
      <c r="H348" s="180"/>
      <c r="I348" s="180"/>
      <c r="J348" s="181"/>
      <c r="K348" s="182"/>
      <c r="L348" s="177"/>
      <c r="M348" s="183"/>
      <c r="N348" s="184"/>
      <c r="O348" s="185"/>
      <c r="P348" s="184"/>
      <c r="Q348" s="184"/>
      <c r="R348" s="184"/>
      <c r="S348" s="184"/>
      <c r="T348" s="184"/>
    </row>
    <row r="349" spans="1:20" ht="12.75">
      <c r="A349" s="176"/>
      <c r="B349" s="153"/>
      <c r="C349" s="153"/>
      <c r="D349" s="177"/>
      <c r="E349" s="153"/>
      <c r="F349" s="178"/>
      <c r="G349" s="179"/>
      <c r="H349" s="180"/>
      <c r="I349" s="180"/>
      <c r="J349" s="181"/>
      <c r="K349" s="182"/>
      <c r="L349" s="177"/>
      <c r="M349" s="183"/>
      <c r="N349" s="184"/>
      <c r="O349" s="185"/>
      <c r="P349" s="184"/>
      <c r="Q349" s="184"/>
      <c r="R349" s="184"/>
      <c r="S349" s="184"/>
      <c r="T349" s="184"/>
    </row>
    <row r="350" spans="1:20" ht="12.75">
      <c r="A350" s="176"/>
      <c r="B350" s="153"/>
      <c r="C350" s="153"/>
      <c r="D350" s="177"/>
      <c r="E350" s="153"/>
      <c r="F350" s="178"/>
      <c r="G350" s="179"/>
      <c r="H350" s="180"/>
      <c r="I350" s="180"/>
      <c r="J350" s="181"/>
      <c r="K350" s="182"/>
      <c r="L350" s="177"/>
      <c r="M350" s="183"/>
      <c r="N350" s="184"/>
      <c r="O350" s="185"/>
      <c r="P350" s="184"/>
      <c r="Q350" s="184"/>
      <c r="R350" s="184"/>
      <c r="S350" s="184"/>
      <c r="T350" s="184"/>
    </row>
    <row r="351" spans="1:20" ht="12.75">
      <c r="A351" s="176"/>
      <c r="B351" s="153"/>
      <c r="C351" s="153"/>
      <c r="D351" s="177"/>
      <c r="E351" s="153"/>
      <c r="F351" s="178"/>
      <c r="G351" s="179"/>
      <c r="H351" s="180"/>
      <c r="I351" s="180"/>
      <c r="J351" s="181"/>
      <c r="K351" s="182"/>
      <c r="L351" s="177"/>
      <c r="M351" s="183"/>
      <c r="N351" s="184"/>
      <c r="O351" s="185"/>
      <c r="P351" s="184"/>
      <c r="Q351" s="184"/>
      <c r="R351" s="184"/>
      <c r="S351" s="184"/>
      <c r="T351" s="184"/>
    </row>
    <row r="352" spans="1:20" ht="12.75">
      <c r="A352" s="176"/>
      <c r="B352" s="153"/>
      <c r="C352" s="153"/>
      <c r="D352" s="177"/>
      <c r="E352" s="153"/>
      <c r="F352" s="178"/>
      <c r="G352" s="179"/>
      <c r="H352" s="180"/>
      <c r="I352" s="180"/>
      <c r="J352" s="181"/>
      <c r="K352" s="182"/>
      <c r="L352" s="177"/>
      <c r="M352" s="183"/>
      <c r="N352" s="184"/>
      <c r="O352" s="185"/>
      <c r="P352" s="184"/>
      <c r="Q352" s="184"/>
      <c r="R352" s="184"/>
      <c r="S352" s="184"/>
      <c r="T352" s="184"/>
    </row>
    <row r="353" spans="1:20" ht="12.75">
      <c r="A353" s="176"/>
      <c r="B353" s="153"/>
      <c r="C353" s="153"/>
      <c r="D353" s="177"/>
      <c r="E353" s="153"/>
      <c r="F353" s="178"/>
      <c r="G353" s="179"/>
      <c r="H353" s="180"/>
      <c r="I353" s="180"/>
      <c r="J353" s="181"/>
      <c r="K353" s="182"/>
      <c r="L353" s="177"/>
      <c r="M353" s="183"/>
      <c r="N353" s="184"/>
      <c r="O353" s="185"/>
      <c r="P353" s="184"/>
      <c r="Q353" s="184"/>
      <c r="R353" s="184"/>
      <c r="S353" s="184"/>
      <c r="T353" s="184"/>
    </row>
    <row r="354" spans="1:20" ht="12.75">
      <c r="A354" s="176"/>
      <c r="B354" s="153"/>
      <c r="C354" s="153"/>
      <c r="D354" s="177"/>
      <c r="E354" s="153"/>
      <c r="F354" s="178"/>
      <c r="G354" s="179"/>
      <c r="H354" s="180"/>
      <c r="I354" s="180"/>
      <c r="J354" s="181"/>
      <c r="K354" s="182"/>
      <c r="L354" s="177"/>
      <c r="M354" s="183"/>
      <c r="N354" s="184"/>
      <c r="O354" s="185"/>
      <c r="P354" s="184"/>
      <c r="Q354" s="184"/>
      <c r="R354" s="184"/>
      <c r="S354" s="184"/>
      <c r="T354" s="184"/>
    </row>
    <row r="355" spans="1:20" ht="12.75">
      <c r="A355" s="176"/>
      <c r="B355" s="153"/>
      <c r="C355" s="153"/>
      <c r="D355" s="177"/>
      <c r="E355" s="153"/>
      <c r="F355" s="178"/>
      <c r="G355" s="179"/>
      <c r="H355" s="180"/>
      <c r="I355" s="180"/>
      <c r="J355" s="181"/>
      <c r="K355" s="182"/>
      <c r="L355" s="177"/>
      <c r="M355" s="183"/>
      <c r="N355" s="184"/>
      <c r="O355" s="185"/>
      <c r="P355" s="184"/>
      <c r="Q355" s="184"/>
      <c r="R355" s="184"/>
      <c r="S355" s="184"/>
      <c r="T355" s="184"/>
    </row>
    <row r="356" spans="1:20" ht="12.75">
      <c r="A356" s="176"/>
      <c r="B356" s="153"/>
      <c r="C356" s="153"/>
      <c r="D356" s="177"/>
      <c r="E356" s="153"/>
      <c r="F356" s="178"/>
      <c r="G356" s="179"/>
      <c r="H356" s="180"/>
      <c r="I356" s="180"/>
      <c r="J356" s="181"/>
      <c r="K356" s="182"/>
      <c r="L356" s="177"/>
      <c r="M356" s="183"/>
      <c r="N356" s="184"/>
      <c r="O356" s="185"/>
      <c r="P356" s="184"/>
      <c r="Q356" s="184"/>
      <c r="R356" s="184"/>
      <c r="S356" s="184"/>
      <c r="T356" s="184"/>
    </row>
    <row r="357" spans="1:20" ht="12.75">
      <c r="A357" s="176"/>
      <c r="B357" s="153"/>
      <c r="C357" s="153"/>
      <c r="D357" s="177"/>
      <c r="E357" s="153"/>
      <c r="F357" s="178"/>
      <c r="G357" s="179"/>
      <c r="H357" s="180"/>
      <c r="I357" s="180"/>
      <c r="J357" s="181"/>
      <c r="K357" s="182"/>
      <c r="L357" s="177"/>
      <c r="M357" s="183"/>
      <c r="N357" s="184"/>
      <c r="O357" s="185"/>
      <c r="P357" s="184"/>
      <c r="Q357" s="184"/>
      <c r="R357" s="184"/>
      <c r="S357" s="184"/>
      <c r="T357" s="184"/>
    </row>
    <row r="358" spans="1:20" ht="12.75">
      <c r="A358" s="176"/>
      <c r="B358" s="153"/>
      <c r="C358" s="153"/>
      <c r="D358" s="177"/>
      <c r="E358" s="153"/>
      <c r="F358" s="178"/>
      <c r="G358" s="179"/>
      <c r="H358" s="180"/>
      <c r="I358" s="180"/>
      <c r="J358" s="181"/>
      <c r="K358" s="182"/>
      <c r="L358" s="177"/>
      <c r="M358" s="183"/>
      <c r="N358" s="184"/>
      <c r="O358" s="185"/>
      <c r="P358" s="184"/>
      <c r="Q358" s="184"/>
      <c r="R358" s="184"/>
      <c r="S358" s="184"/>
      <c r="T358" s="184"/>
    </row>
    <row r="359" spans="1:20" ht="12.75">
      <c r="A359" s="176"/>
      <c r="B359" s="153"/>
      <c r="C359" s="153"/>
      <c r="D359" s="177"/>
      <c r="E359" s="153"/>
      <c r="F359" s="178"/>
      <c r="G359" s="179"/>
      <c r="H359" s="180"/>
      <c r="I359" s="180"/>
      <c r="J359" s="181"/>
      <c r="K359" s="182"/>
      <c r="L359" s="177"/>
      <c r="M359" s="183"/>
      <c r="N359" s="184"/>
      <c r="O359" s="185"/>
      <c r="P359" s="184"/>
      <c r="Q359" s="184"/>
      <c r="R359" s="184"/>
      <c r="S359" s="184"/>
      <c r="T359" s="184"/>
    </row>
    <row r="360" spans="1:20" ht="12.75">
      <c r="A360" s="176"/>
      <c r="B360" s="153"/>
      <c r="C360" s="153"/>
      <c r="D360" s="177"/>
      <c r="E360" s="153"/>
      <c r="F360" s="178"/>
      <c r="G360" s="179"/>
      <c r="H360" s="180"/>
      <c r="I360" s="180"/>
      <c r="J360" s="181"/>
      <c r="K360" s="182"/>
      <c r="L360" s="177"/>
      <c r="M360" s="183"/>
      <c r="N360" s="184"/>
      <c r="O360" s="185"/>
      <c r="P360" s="184"/>
      <c r="Q360" s="184"/>
      <c r="R360" s="184"/>
      <c r="S360" s="184"/>
      <c r="T360" s="184"/>
    </row>
    <row r="361" spans="1:20" ht="12.75">
      <c r="A361" s="176"/>
      <c r="B361" s="153"/>
      <c r="C361" s="153"/>
      <c r="D361" s="177"/>
      <c r="E361" s="153"/>
      <c r="F361" s="178"/>
      <c r="G361" s="179"/>
      <c r="H361" s="180"/>
      <c r="I361" s="180"/>
      <c r="J361" s="181"/>
      <c r="K361" s="182"/>
      <c r="L361" s="177"/>
      <c r="M361" s="183"/>
      <c r="N361" s="184"/>
      <c r="O361" s="185"/>
      <c r="P361" s="184"/>
      <c r="Q361" s="184"/>
      <c r="R361" s="184"/>
      <c r="S361" s="184"/>
      <c r="T361" s="184"/>
    </row>
    <row r="362" spans="1:20" ht="12.75">
      <c r="A362" s="176"/>
      <c r="B362" s="153"/>
      <c r="C362" s="153"/>
      <c r="D362" s="177"/>
      <c r="E362" s="153"/>
      <c r="F362" s="178"/>
      <c r="G362" s="179"/>
      <c r="H362" s="180"/>
      <c r="I362" s="180"/>
      <c r="J362" s="181"/>
      <c r="K362" s="182"/>
      <c r="L362" s="177"/>
      <c r="M362" s="183"/>
      <c r="N362" s="184"/>
      <c r="O362" s="185"/>
      <c r="P362" s="184"/>
      <c r="Q362" s="184"/>
      <c r="R362" s="184"/>
      <c r="S362" s="184"/>
      <c r="T362" s="184"/>
    </row>
    <row r="363" spans="1:20" ht="12.75">
      <c r="A363" s="176"/>
      <c r="B363" s="153"/>
      <c r="C363" s="153"/>
      <c r="D363" s="177"/>
      <c r="E363" s="153"/>
      <c r="F363" s="178"/>
      <c r="G363" s="179"/>
      <c r="H363" s="180"/>
      <c r="I363" s="180"/>
      <c r="J363" s="181"/>
      <c r="K363" s="182"/>
      <c r="L363" s="177"/>
      <c r="M363" s="183"/>
      <c r="N363" s="184"/>
      <c r="O363" s="185"/>
      <c r="P363" s="184"/>
      <c r="Q363" s="184"/>
      <c r="R363" s="184"/>
      <c r="S363" s="184"/>
      <c r="T363" s="184"/>
    </row>
    <row r="364" spans="1:20" ht="12.75">
      <c r="A364" s="176"/>
      <c r="B364" s="153"/>
      <c r="C364" s="153"/>
      <c r="D364" s="177"/>
      <c r="E364" s="153"/>
      <c r="F364" s="178"/>
      <c r="G364" s="179"/>
      <c r="H364" s="180"/>
      <c r="I364" s="180"/>
      <c r="J364" s="181"/>
      <c r="K364" s="182"/>
      <c r="L364" s="177"/>
      <c r="M364" s="183"/>
      <c r="N364" s="184"/>
      <c r="O364" s="185"/>
      <c r="P364" s="184"/>
      <c r="Q364" s="184"/>
      <c r="R364" s="184"/>
      <c r="S364" s="184"/>
      <c r="T364" s="184"/>
    </row>
    <row r="365" spans="1:20" ht="12.75">
      <c r="A365" s="176"/>
      <c r="B365" s="153"/>
      <c r="C365" s="153"/>
      <c r="D365" s="177"/>
      <c r="E365" s="153"/>
      <c r="F365" s="178"/>
      <c r="G365" s="179"/>
      <c r="H365" s="180"/>
      <c r="I365" s="180"/>
      <c r="J365" s="181"/>
      <c r="K365" s="182"/>
      <c r="L365" s="177"/>
      <c r="M365" s="183"/>
      <c r="N365" s="184"/>
      <c r="O365" s="185"/>
      <c r="P365" s="184"/>
      <c r="Q365" s="184"/>
      <c r="R365" s="184"/>
      <c r="S365" s="184"/>
      <c r="T365" s="184"/>
    </row>
    <row r="366" spans="1:20" ht="12.75">
      <c r="A366" s="176"/>
      <c r="B366" s="153"/>
      <c r="C366" s="153"/>
      <c r="D366" s="177"/>
      <c r="E366" s="153"/>
      <c r="F366" s="178"/>
      <c r="G366" s="179"/>
      <c r="H366" s="180"/>
      <c r="I366" s="180"/>
      <c r="J366" s="181"/>
      <c r="K366" s="182"/>
      <c r="L366" s="177"/>
      <c r="M366" s="183"/>
      <c r="N366" s="184"/>
      <c r="O366" s="185"/>
      <c r="P366" s="184"/>
      <c r="Q366" s="184"/>
      <c r="R366" s="184"/>
      <c r="S366" s="184"/>
      <c r="T366" s="184"/>
    </row>
    <row r="367" spans="1:20" ht="12.75">
      <c r="A367" s="176"/>
      <c r="B367" s="153"/>
      <c r="C367" s="153"/>
      <c r="D367" s="177"/>
      <c r="E367" s="153"/>
      <c r="F367" s="178"/>
      <c r="G367" s="179"/>
      <c r="H367" s="180"/>
      <c r="I367" s="180"/>
      <c r="J367" s="181"/>
      <c r="K367" s="182"/>
      <c r="L367" s="177"/>
      <c r="M367" s="183"/>
      <c r="N367" s="184"/>
      <c r="O367" s="185"/>
      <c r="P367" s="184"/>
      <c r="Q367" s="184"/>
      <c r="R367" s="184"/>
      <c r="S367" s="184"/>
      <c r="T367" s="184"/>
    </row>
    <row r="368" spans="1:20" ht="12.75">
      <c r="A368" s="176"/>
      <c r="B368" s="153"/>
      <c r="C368" s="153"/>
      <c r="D368" s="177"/>
      <c r="E368" s="153"/>
      <c r="F368" s="178"/>
      <c r="G368" s="179"/>
      <c r="H368" s="180"/>
      <c r="I368" s="180"/>
      <c r="J368" s="181"/>
      <c r="K368" s="182"/>
      <c r="L368" s="177"/>
      <c r="M368" s="183"/>
      <c r="N368" s="184"/>
      <c r="O368" s="185"/>
      <c r="P368" s="184"/>
      <c r="Q368" s="184"/>
      <c r="R368" s="184"/>
      <c r="S368" s="184"/>
      <c r="T368" s="184"/>
    </row>
    <row r="369" spans="1:20" ht="12.75">
      <c r="A369" s="176"/>
      <c r="B369" s="153"/>
      <c r="C369" s="153"/>
      <c r="D369" s="177"/>
      <c r="E369" s="153"/>
      <c r="F369" s="178"/>
      <c r="G369" s="179"/>
      <c r="H369" s="180"/>
      <c r="I369" s="180"/>
      <c r="J369" s="181"/>
      <c r="K369" s="182"/>
      <c r="L369" s="177"/>
      <c r="M369" s="183"/>
      <c r="N369" s="184"/>
      <c r="O369" s="185"/>
      <c r="P369" s="184"/>
      <c r="Q369" s="184"/>
      <c r="R369" s="184"/>
      <c r="S369" s="184"/>
      <c r="T369" s="184"/>
    </row>
    <row r="370" spans="1:20" ht="12.75">
      <c r="A370" s="176"/>
      <c r="B370" s="153"/>
      <c r="C370" s="153"/>
      <c r="D370" s="177"/>
      <c r="E370" s="153"/>
      <c r="F370" s="178"/>
      <c r="G370" s="179"/>
      <c r="H370" s="180"/>
      <c r="I370" s="180"/>
      <c r="J370" s="181"/>
      <c r="K370" s="182"/>
      <c r="L370" s="177"/>
      <c r="M370" s="183"/>
      <c r="N370" s="184"/>
      <c r="O370" s="185"/>
      <c r="P370" s="184"/>
      <c r="Q370" s="184"/>
      <c r="R370" s="184"/>
      <c r="S370" s="184"/>
      <c r="T370" s="184"/>
    </row>
    <row r="371" spans="1:20" ht="12.75">
      <c r="A371" s="176"/>
      <c r="B371" s="153"/>
      <c r="C371" s="153"/>
      <c r="D371" s="177"/>
      <c r="E371" s="153"/>
      <c r="F371" s="178"/>
      <c r="G371" s="179"/>
      <c r="H371" s="180"/>
      <c r="I371" s="180"/>
      <c r="J371" s="181"/>
      <c r="K371" s="182"/>
      <c r="L371" s="177"/>
      <c r="M371" s="183"/>
      <c r="N371" s="184"/>
      <c r="O371" s="185"/>
      <c r="P371" s="184"/>
      <c r="Q371" s="184"/>
      <c r="R371" s="184"/>
      <c r="S371" s="184"/>
      <c r="T371" s="184"/>
    </row>
    <row r="372" spans="1:20" ht="12.75">
      <c r="A372" s="176"/>
      <c r="B372" s="153"/>
      <c r="C372" s="153"/>
      <c r="D372" s="177"/>
      <c r="E372" s="153"/>
      <c r="F372" s="178"/>
      <c r="G372" s="179"/>
      <c r="H372" s="180"/>
      <c r="I372" s="180"/>
      <c r="J372" s="181"/>
      <c r="K372" s="182"/>
      <c r="L372" s="177"/>
      <c r="M372" s="183"/>
      <c r="N372" s="184"/>
      <c r="O372" s="185"/>
      <c r="P372" s="184"/>
      <c r="Q372" s="184"/>
      <c r="R372" s="184"/>
      <c r="S372" s="184"/>
      <c r="T372" s="184"/>
    </row>
    <row r="373" spans="1:20" ht="12.75">
      <c r="A373" s="176"/>
      <c r="B373" s="153"/>
      <c r="C373" s="153"/>
      <c r="D373" s="177"/>
      <c r="E373" s="153"/>
      <c r="F373" s="178"/>
      <c r="G373" s="179"/>
      <c r="H373" s="180"/>
      <c r="I373" s="180"/>
      <c r="J373" s="181"/>
      <c r="K373" s="182"/>
      <c r="L373" s="177"/>
      <c r="M373" s="183"/>
      <c r="N373" s="184"/>
      <c r="O373" s="185"/>
      <c r="P373" s="184"/>
      <c r="Q373" s="184"/>
      <c r="R373" s="184"/>
      <c r="S373" s="184"/>
      <c r="T373" s="184"/>
    </row>
    <row r="374" spans="1:20" ht="12.75">
      <c r="A374" s="176"/>
      <c r="B374" s="153"/>
      <c r="C374" s="153"/>
      <c r="D374" s="177"/>
      <c r="E374" s="153"/>
      <c r="F374" s="178"/>
      <c r="G374" s="179"/>
      <c r="H374" s="180"/>
      <c r="I374" s="180"/>
      <c r="J374" s="181"/>
      <c r="K374" s="182"/>
      <c r="L374" s="177"/>
      <c r="M374" s="183"/>
      <c r="N374" s="184"/>
      <c r="O374" s="185"/>
      <c r="P374" s="184"/>
      <c r="Q374" s="184"/>
      <c r="R374" s="184"/>
      <c r="S374" s="184"/>
      <c r="T374" s="184"/>
    </row>
    <row r="375" spans="1:20" ht="12.75">
      <c r="A375" s="176"/>
      <c r="B375" s="153"/>
      <c r="C375" s="153"/>
      <c r="D375" s="177"/>
      <c r="E375" s="153"/>
      <c r="F375" s="178"/>
      <c r="G375" s="179"/>
      <c r="H375" s="180"/>
      <c r="I375" s="180"/>
      <c r="J375" s="181"/>
      <c r="K375" s="182"/>
      <c r="L375" s="177"/>
      <c r="M375" s="183"/>
      <c r="N375" s="184"/>
      <c r="O375" s="185"/>
      <c r="P375" s="184"/>
      <c r="Q375" s="184"/>
      <c r="R375" s="184"/>
      <c r="S375" s="184"/>
      <c r="T375" s="184"/>
    </row>
    <row r="376" spans="1:20" ht="12.75">
      <c r="A376" s="176"/>
      <c r="B376" s="153"/>
      <c r="C376" s="153"/>
      <c r="D376" s="177"/>
      <c r="E376" s="153"/>
      <c r="F376" s="178"/>
      <c r="G376" s="179"/>
      <c r="H376" s="180"/>
      <c r="I376" s="180"/>
      <c r="J376" s="181"/>
      <c r="K376" s="182"/>
      <c r="L376" s="177"/>
      <c r="M376" s="183"/>
      <c r="N376" s="184"/>
      <c r="O376" s="185"/>
      <c r="P376" s="184"/>
      <c r="Q376" s="184"/>
      <c r="R376" s="184"/>
      <c r="S376" s="184"/>
      <c r="T376" s="184"/>
    </row>
    <row r="377" spans="1:20" ht="12.75">
      <c r="A377" s="176"/>
      <c r="B377" s="153"/>
      <c r="C377" s="153"/>
      <c r="D377" s="177"/>
      <c r="E377" s="153"/>
      <c r="F377" s="178"/>
      <c r="G377" s="179"/>
      <c r="H377" s="180"/>
      <c r="I377" s="180"/>
      <c r="J377" s="181"/>
      <c r="K377" s="182"/>
      <c r="L377" s="177"/>
      <c r="M377" s="183"/>
      <c r="N377" s="184"/>
      <c r="O377" s="185"/>
      <c r="P377" s="184"/>
      <c r="Q377" s="184"/>
      <c r="R377" s="184"/>
      <c r="S377" s="184"/>
      <c r="T377" s="184"/>
    </row>
    <row r="378" spans="1:20" ht="12.75">
      <c r="A378" s="176"/>
      <c r="B378" s="153"/>
      <c r="C378" s="153"/>
      <c r="D378" s="177"/>
      <c r="E378" s="153"/>
      <c r="F378" s="178"/>
      <c r="G378" s="179"/>
      <c r="H378" s="180"/>
      <c r="I378" s="180"/>
      <c r="J378" s="181"/>
      <c r="K378" s="182"/>
      <c r="L378" s="177"/>
      <c r="M378" s="183"/>
      <c r="N378" s="184"/>
      <c r="O378" s="185"/>
      <c r="P378" s="184"/>
      <c r="Q378" s="184"/>
      <c r="R378" s="184"/>
      <c r="S378" s="184"/>
      <c r="T378" s="184"/>
    </row>
    <row r="379" spans="1:20" ht="12.75">
      <c r="A379" s="176"/>
      <c r="B379" s="153"/>
      <c r="C379" s="153"/>
      <c r="D379" s="177"/>
      <c r="E379" s="153"/>
      <c r="F379" s="178"/>
      <c r="G379" s="179"/>
      <c r="H379" s="180"/>
      <c r="I379" s="180"/>
      <c r="J379" s="181"/>
      <c r="K379" s="182"/>
      <c r="L379" s="177"/>
      <c r="M379" s="183"/>
      <c r="N379" s="184"/>
      <c r="O379" s="185"/>
      <c r="P379" s="184"/>
      <c r="Q379" s="184"/>
      <c r="R379" s="184"/>
      <c r="S379" s="184"/>
      <c r="T379" s="184"/>
    </row>
    <row r="380" spans="1:20" ht="12.75">
      <c r="A380" s="176"/>
      <c r="B380" s="153"/>
      <c r="C380" s="153"/>
      <c r="D380" s="177"/>
      <c r="E380" s="153"/>
      <c r="F380" s="178"/>
      <c r="G380" s="179"/>
      <c r="H380" s="180"/>
      <c r="I380" s="180"/>
      <c r="J380" s="181"/>
      <c r="K380" s="182"/>
      <c r="L380" s="177"/>
      <c r="M380" s="183"/>
      <c r="N380" s="184"/>
      <c r="O380" s="185"/>
      <c r="P380" s="184"/>
      <c r="Q380" s="184"/>
      <c r="R380" s="184"/>
      <c r="S380" s="184"/>
      <c r="T380" s="184"/>
    </row>
    <row r="381" spans="1:20" ht="12.75">
      <c r="A381" s="176"/>
      <c r="B381" s="153"/>
      <c r="C381" s="153"/>
      <c r="D381" s="177"/>
      <c r="E381" s="153"/>
      <c r="F381" s="178"/>
      <c r="G381" s="179"/>
      <c r="H381" s="180"/>
      <c r="I381" s="180"/>
      <c r="J381" s="181"/>
      <c r="K381" s="182"/>
      <c r="L381" s="177"/>
      <c r="M381" s="183"/>
      <c r="N381" s="184"/>
      <c r="O381" s="185"/>
      <c r="P381" s="184"/>
      <c r="Q381" s="184"/>
      <c r="R381" s="184"/>
      <c r="S381" s="184"/>
      <c r="T381" s="184"/>
    </row>
    <row r="382" spans="1:20" ht="12.75">
      <c r="A382" s="176"/>
      <c r="B382" s="153"/>
      <c r="C382" s="153"/>
      <c r="D382" s="177"/>
      <c r="E382" s="153"/>
      <c r="F382" s="178"/>
      <c r="G382" s="179"/>
      <c r="H382" s="180"/>
      <c r="I382" s="180"/>
      <c r="J382" s="181"/>
      <c r="K382" s="182"/>
      <c r="L382" s="177"/>
      <c r="M382" s="183"/>
      <c r="N382" s="184"/>
      <c r="O382" s="185"/>
      <c r="P382" s="184"/>
      <c r="Q382" s="184"/>
      <c r="R382" s="184"/>
      <c r="S382" s="184"/>
      <c r="T382" s="184"/>
    </row>
    <row r="383" spans="1:20" ht="12.75">
      <c r="A383" s="176"/>
      <c r="B383" s="153"/>
      <c r="C383" s="153"/>
      <c r="D383" s="177"/>
      <c r="E383" s="153"/>
      <c r="F383" s="178"/>
      <c r="G383" s="179"/>
      <c r="H383" s="180"/>
      <c r="I383" s="180"/>
      <c r="J383" s="181"/>
      <c r="K383" s="182"/>
      <c r="L383" s="177"/>
      <c r="M383" s="183"/>
      <c r="N383" s="184"/>
      <c r="O383" s="185"/>
      <c r="P383" s="184"/>
      <c r="Q383" s="184"/>
      <c r="R383" s="184"/>
      <c r="S383" s="184"/>
      <c r="T383" s="184"/>
    </row>
    <row r="384" spans="1:20" ht="12.75">
      <c r="A384" s="176"/>
      <c r="B384" s="153"/>
      <c r="C384" s="153"/>
      <c r="D384" s="177"/>
      <c r="E384" s="153"/>
      <c r="F384" s="178"/>
      <c r="G384" s="179"/>
      <c r="H384" s="180"/>
      <c r="I384" s="180"/>
      <c r="J384" s="181"/>
      <c r="K384" s="182"/>
      <c r="L384" s="177"/>
      <c r="M384" s="183"/>
      <c r="N384" s="184"/>
      <c r="O384" s="185"/>
      <c r="P384" s="184"/>
      <c r="Q384" s="184"/>
      <c r="R384" s="184"/>
      <c r="S384" s="184"/>
      <c r="T384" s="184"/>
    </row>
    <row r="385" spans="1:20" ht="12.75">
      <c r="A385" s="176"/>
      <c r="B385" s="153"/>
      <c r="C385" s="153"/>
      <c r="D385" s="177"/>
      <c r="E385" s="153"/>
      <c r="F385" s="178"/>
      <c r="G385" s="179"/>
      <c r="H385" s="180"/>
      <c r="I385" s="180"/>
      <c r="J385" s="181"/>
      <c r="K385" s="182"/>
      <c r="L385" s="177"/>
      <c r="M385" s="183"/>
      <c r="N385" s="184"/>
      <c r="O385" s="185"/>
      <c r="P385" s="184"/>
      <c r="Q385" s="184"/>
      <c r="R385" s="184"/>
      <c r="S385" s="184"/>
      <c r="T385" s="184"/>
    </row>
    <row r="386" spans="1:20" ht="12.75">
      <c r="A386" s="176"/>
      <c r="B386" s="153"/>
      <c r="C386" s="153"/>
      <c r="D386" s="177"/>
      <c r="E386" s="153"/>
      <c r="F386" s="178"/>
      <c r="G386" s="179"/>
      <c r="H386" s="180"/>
      <c r="I386" s="180"/>
      <c r="J386" s="181"/>
      <c r="K386" s="182"/>
      <c r="L386" s="177"/>
      <c r="M386" s="183"/>
      <c r="N386" s="184"/>
      <c r="O386" s="185"/>
      <c r="P386" s="184"/>
      <c r="Q386" s="184"/>
      <c r="R386" s="184"/>
      <c r="S386" s="184"/>
      <c r="T386" s="184"/>
    </row>
    <row r="387" spans="1:20" ht="12.75">
      <c r="A387" s="176"/>
      <c r="B387" s="153"/>
      <c r="C387" s="153"/>
      <c r="D387" s="177"/>
      <c r="E387" s="153"/>
      <c r="F387" s="178"/>
      <c r="G387" s="179"/>
      <c r="H387" s="180"/>
      <c r="I387" s="180"/>
      <c r="J387" s="181"/>
      <c r="K387" s="182"/>
      <c r="L387" s="177"/>
      <c r="M387" s="183"/>
      <c r="N387" s="184"/>
      <c r="O387" s="185"/>
      <c r="P387" s="184"/>
      <c r="Q387" s="184"/>
      <c r="R387" s="184"/>
      <c r="S387" s="184"/>
      <c r="T387" s="184"/>
    </row>
    <row r="388" spans="1:20" ht="12.75">
      <c r="A388" s="176"/>
      <c r="B388" s="153"/>
      <c r="C388" s="153"/>
      <c r="D388" s="177"/>
      <c r="E388" s="153"/>
      <c r="F388" s="178"/>
      <c r="G388" s="179"/>
      <c r="H388" s="180"/>
      <c r="I388" s="180"/>
      <c r="J388" s="181"/>
      <c r="K388" s="182"/>
      <c r="L388" s="177"/>
      <c r="M388" s="183"/>
      <c r="N388" s="184"/>
      <c r="O388" s="185"/>
      <c r="P388" s="184"/>
      <c r="Q388" s="184"/>
      <c r="R388" s="184"/>
      <c r="S388" s="184"/>
      <c r="T388" s="184"/>
    </row>
    <row r="389" spans="1:20" ht="12.75">
      <c r="A389" s="176"/>
      <c r="B389" s="153"/>
      <c r="C389" s="153"/>
      <c r="D389" s="177"/>
      <c r="E389" s="153"/>
      <c r="F389" s="178"/>
      <c r="G389" s="179"/>
      <c r="H389" s="180"/>
      <c r="I389" s="180"/>
      <c r="J389" s="181"/>
      <c r="K389" s="182"/>
      <c r="L389" s="177"/>
      <c r="M389" s="183"/>
      <c r="N389" s="184"/>
      <c r="O389" s="185"/>
      <c r="P389" s="184"/>
      <c r="Q389" s="184"/>
      <c r="R389" s="184"/>
      <c r="S389" s="184"/>
      <c r="T389" s="184"/>
    </row>
    <row r="390" spans="1:20" ht="12.75">
      <c r="A390" s="176"/>
      <c r="B390" s="153"/>
      <c r="C390" s="153"/>
      <c r="D390" s="177"/>
      <c r="E390" s="153"/>
      <c r="F390" s="178"/>
      <c r="G390" s="179"/>
      <c r="H390" s="180"/>
      <c r="I390" s="180"/>
      <c r="J390" s="181"/>
      <c r="K390" s="182"/>
      <c r="L390" s="177"/>
      <c r="M390" s="183"/>
      <c r="N390" s="184"/>
      <c r="O390" s="185"/>
      <c r="P390" s="184"/>
      <c r="Q390" s="184"/>
      <c r="R390" s="184"/>
      <c r="S390" s="184"/>
      <c r="T390" s="184"/>
    </row>
    <row r="391" spans="1:20" ht="12.75">
      <c r="A391" s="176"/>
      <c r="B391" s="153"/>
      <c r="C391" s="153"/>
      <c r="D391" s="177"/>
      <c r="E391" s="153"/>
      <c r="F391" s="178"/>
      <c r="G391" s="179"/>
      <c r="H391" s="180"/>
      <c r="I391" s="180"/>
      <c r="J391" s="181"/>
      <c r="K391" s="182"/>
      <c r="L391" s="177"/>
      <c r="M391" s="183"/>
      <c r="N391" s="184"/>
      <c r="O391" s="185"/>
      <c r="P391" s="184"/>
      <c r="Q391" s="184"/>
      <c r="R391" s="184"/>
      <c r="S391" s="184"/>
      <c r="T391" s="184"/>
    </row>
    <row r="392" spans="1:20" ht="12.75">
      <c r="A392" s="176"/>
      <c r="B392" s="153"/>
      <c r="C392" s="153"/>
      <c r="D392" s="177"/>
      <c r="E392" s="153"/>
      <c r="F392" s="178"/>
      <c r="G392" s="179"/>
      <c r="H392" s="180"/>
      <c r="I392" s="180"/>
      <c r="J392" s="181"/>
      <c r="K392" s="182"/>
      <c r="L392" s="177"/>
      <c r="M392" s="183"/>
      <c r="N392" s="184"/>
      <c r="O392" s="185"/>
      <c r="P392" s="184"/>
      <c r="Q392" s="184"/>
      <c r="R392" s="184"/>
      <c r="S392" s="184"/>
      <c r="T392" s="184"/>
    </row>
    <row r="393" spans="1:20" ht="12.75">
      <c r="A393" s="176"/>
      <c r="B393" s="153"/>
      <c r="C393" s="153"/>
      <c r="D393" s="177"/>
      <c r="E393" s="153"/>
      <c r="F393" s="178"/>
      <c r="G393" s="179"/>
      <c r="H393" s="180"/>
      <c r="I393" s="180"/>
      <c r="J393" s="181"/>
      <c r="K393" s="182"/>
      <c r="L393" s="177"/>
      <c r="M393" s="183"/>
      <c r="N393" s="184"/>
      <c r="O393" s="185"/>
      <c r="P393" s="184"/>
      <c r="Q393" s="184"/>
      <c r="R393" s="184"/>
      <c r="S393" s="184"/>
      <c r="T393" s="184"/>
    </row>
    <row r="394" spans="1:20" ht="12.75">
      <c r="A394" s="176"/>
      <c r="B394" s="153"/>
      <c r="C394" s="153"/>
      <c r="D394" s="177"/>
      <c r="E394" s="153"/>
      <c r="F394" s="178"/>
      <c r="G394" s="179"/>
      <c r="H394" s="180"/>
      <c r="I394" s="180"/>
      <c r="J394" s="181"/>
      <c r="K394" s="182"/>
      <c r="L394" s="177"/>
      <c r="M394" s="183"/>
      <c r="N394" s="184"/>
      <c r="O394" s="185"/>
      <c r="P394" s="184"/>
      <c r="Q394" s="184"/>
      <c r="R394" s="184"/>
      <c r="S394" s="184"/>
      <c r="T394" s="184"/>
    </row>
    <row r="395" spans="1:20" ht="12.75">
      <c r="A395" s="176"/>
      <c r="B395" s="153"/>
      <c r="C395" s="153"/>
      <c r="D395" s="177"/>
      <c r="E395" s="153"/>
      <c r="F395" s="178"/>
      <c r="G395" s="179"/>
      <c r="H395" s="180"/>
      <c r="I395" s="180"/>
      <c r="J395" s="181"/>
      <c r="K395" s="182"/>
      <c r="L395" s="177"/>
      <c r="M395" s="183"/>
      <c r="N395" s="184"/>
      <c r="O395" s="185"/>
      <c r="P395" s="184"/>
      <c r="Q395" s="184"/>
      <c r="R395" s="184"/>
      <c r="S395" s="184"/>
      <c r="T395" s="184"/>
    </row>
    <row r="396" spans="1:20" ht="12.75">
      <c r="A396" s="176"/>
      <c r="B396" s="153"/>
      <c r="C396" s="153"/>
      <c r="D396" s="177"/>
      <c r="E396" s="153"/>
      <c r="F396" s="178"/>
      <c r="G396" s="179"/>
      <c r="H396" s="180"/>
      <c r="I396" s="180"/>
      <c r="J396" s="181"/>
      <c r="K396" s="182"/>
      <c r="L396" s="177"/>
      <c r="M396" s="183"/>
      <c r="N396" s="184"/>
      <c r="O396" s="185"/>
      <c r="P396" s="184"/>
      <c r="Q396" s="184"/>
      <c r="R396" s="184"/>
      <c r="S396" s="184"/>
      <c r="T396" s="184"/>
    </row>
    <row r="397" spans="1:20" ht="12.75">
      <c r="A397" s="176"/>
      <c r="B397" s="153"/>
      <c r="C397" s="153"/>
      <c r="D397" s="177"/>
      <c r="E397" s="153"/>
      <c r="F397" s="178"/>
      <c r="G397" s="179"/>
      <c r="H397" s="180"/>
      <c r="I397" s="180"/>
      <c r="J397" s="181"/>
      <c r="K397" s="182"/>
      <c r="L397" s="177"/>
      <c r="M397" s="183"/>
      <c r="N397" s="184"/>
      <c r="O397" s="185"/>
      <c r="P397" s="184"/>
      <c r="Q397" s="184"/>
      <c r="R397" s="184"/>
      <c r="S397" s="184"/>
      <c r="T397" s="184"/>
    </row>
    <row r="398" spans="1:20" ht="12.75">
      <c r="A398" s="176"/>
      <c r="B398" s="153"/>
      <c r="C398" s="153"/>
      <c r="D398" s="177"/>
      <c r="E398" s="153"/>
      <c r="F398" s="178"/>
      <c r="G398" s="179"/>
      <c r="H398" s="180"/>
      <c r="I398" s="180"/>
      <c r="J398" s="181"/>
      <c r="K398" s="182"/>
      <c r="L398" s="177"/>
      <c r="M398" s="183"/>
      <c r="N398" s="184"/>
      <c r="O398" s="185"/>
      <c r="P398" s="184"/>
      <c r="Q398" s="184"/>
      <c r="R398" s="184"/>
      <c r="S398" s="184"/>
      <c r="T398" s="184"/>
    </row>
    <row r="399" spans="1:20" ht="12.75">
      <c r="A399" s="176"/>
      <c r="B399" s="153"/>
      <c r="C399" s="153"/>
      <c r="D399" s="177"/>
      <c r="E399" s="153"/>
      <c r="F399" s="178"/>
      <c r="G399" s="179"/>
      <c r="H399" s="180"/>
      <c r="I399" s="180"/>
      <c r="J399" s="181"/>
      <c r="K399" s="182"/>
      <c r="L399" s="177"/>
      <c r="M399" s="183"/>
      <c r="N399" s="184"/>
      <c r="O399" s="185"/>
      <c r="P399" s="184"/>
      <c r="Q399" s="184"/>
      <c r="R399" s="184"/>
      <c r="S399" s="184"/>
      <c r="T399" s="184"/>
    </row>
    <row r="400" spans="1:20" ht="12.75">
      <c r="A400" s="176"/>
      <c r="B400" s="153"/>
      <c r="C400" s="153"/>
      <c r="D400" s="177"/>
      <c r="E400" s="153"/>
      <c r="F400" s="178"/>
      <c r="G400" s="179"/>
      <c r="H400" s="180"/>
      <c r="I400" s="180"/>
      <c r="J400" s="181"/>
      <c r="K400" s="182"/>
      <c r="L400" s="177"/>
      <c r="M400" s="183"/>
      <c r="N400" s="184"/>
      <c r="O400" s="185"/>
      <c r="P400" s="184"/>
      <c r="Q400" s="184"/>
      <c r="R400" s="184"/>
      <c r="S400" s="184"/>
      <c r="T400" s="184"/>
    </row>
    <row r="401" spans="1:20" ht="12.75">
      <c r="A401" s="176"/>
      <c r="B401" s="153"/>
      <c r="C401" s="153"/>
      <c r="D401" s="177"/>
      <c r="E401" s="153"/>
      <c r="F401" s="178"/>
      <c r="G401" s="179"/>
      <c r="H401" s="180"/>
      <c r="I401" s="180"/>
      <c r="J401" s="181"/>
      <c r="K401" s="182"/>
      <c r="L401" s="177"/>
      <c r="M401" s="183"/>
      <c r="N401" s="184"/>
      <c r="O401" s="185"/>
      <c r="P401" s="184"/>
      <c r="Q401" s="184"/>
      <c r="R401" s="184"/>
      <c r="S401" s="184"/>
      <c r="T401" s="184"/>
    </row>
    <row r="402" spans="1:20" ht="12.75">
      <c r="A402" s="176"/>
      <c r="B402" s="153"/>
      <c r="C402" s="153"/>
      <c r="D402" s="177"/>
      <c r="E402" s="153"/>
      <c r="F402" s="178"/>
      <c r="G402" s="179"/>
      <c r="H402" s="180"/>
      <c r="I402" s="180"/>
      <c r="J402" s="181"/>
      <c r="K402" s="182"/>
      <c r="L402" s="177"/>
      <c r="M402" s="183"/>
      <c r="N402" s="184"/>
      <c r="O402" s="185"/>
      <c r="P402" s="184"/>
      <c r="Q402" s="184"/>
      <c r="R402" s="184"/>
      <c r="S402" s="184"/>
      <c r="T402" s="184"/>
    </row>
    <row r="403" spans="1:20" ht="12.75">
      <c r="A403" s="176"/>
      <c r="B403" s="153"/>
      <c r="C403" s="153"/>
      <c r="D403" s="177"/>
      <c r="E403" s="153"/>
      <c r="F403" s="178"/>
      <c r="G403" s="179"/>
      <c r="H403" s="180"/>
      <c r="I403" s="180"/>
      <c r="J403" s="181"/>
      <c r="K403" s="182"/>
      <c r="L403" s="177"/>
      <c r="M403" s="183"/>
      <c r="N403" s="184"/>
      <c r="O403" s="185"/>
      <c r="P403" s="184"/>
      <c r="Q403" s="184"/>
      <c r="R403" s="184"/>
      <c r="S403" s="184"/>
      <c r="T403" s="184"/>
    </row>
    <row r="404" spans="1:20" ht="12.75">
      <c r="A404" s="176"/>
      <c r="B404" s="153"/>
      <c r="C404" s="153"/>
      <c r="D404" s="177"/>
      <c r="E404" s="153"/>
      <c r="F404" s="178"/>
      <c r="G404" s="179"/>
      <c r="H404" s="180"/>
      <c r="I404" s="180"/>
      <c r="J404" s="181"/>
      <c r="K404" s="182"/>
      <c r="L404" s="177"/>
      <c r="M404" s="183"/>
      <c r="N404" s="184"/>
      <c r="O404" s="185"/>
      <c r="P404" s="184"/>
      <c r="Q404" s="184"/>
      <c r="R404" s="184"/>
      <c r="S404" s="184"/>
      <c r="T404" s="184"/>
    </row>
    <row r="405" spans="1:20" ht="12.75">
      <c r="A405" s="176"/>
      <c r="B405" s="153"/>
      <c r="C405" s="153"/>
      <c r="D405" s="177"/>
      <c r="E405" s="153"/>
      <c r="F405" s="178"/>
      <c r="G405" s="179"/>
      <c r="H405" s="180"/>
      <c r="I405" s="180"/>
      <c r="J405" s="181"/>
      <c r="K405" s="182"/>
      <c r="L405" s="177"/>
      <c r="M405" s="183"/>
      <c r="N405" s="184"/>
      <c r="O405" s="185"/>
      <c r="P405" s="184"/>
      <c r="Q405" s="184"/>
      <c r="R405" s="184"/>
      <c r="S405" s="184"/>
      <c r="T405" s="184"/>
    </row>
    <row r="406" spans="1:20" ht="12.75">
      <c r="A406" s="176"/>
      <c r="B406" s="153"/>
      <c r="C406" s="153"/>
      <c r="D406" s="177"/>
      <c r="E406" s="153"/>
      <c r="F406" s="178"/>
      <c r="G406" s="179"/>
      <c r="H406" s="180"/>
      <c r="I406" s="180"/>
      <c r="J406" s="181"/>
      <c r="K406" s="182"/>
      <c r="L406" s="177"/>
      <c r="M406" s="183"/>
      <c r="N406" s="184"/>
      <c r="O406" s="185"/>
      <c r="P406" s="184"/>
      <c r="Q406" s="184"/>
      <c r="R406" s="184"/>
      <c r="S406" s="184"/>
      <c r="T406" s="184"/>
    </row>
    <row r="407" spans="1:20" ht="12.75">
      <c r="A407" s="176"/>
      <c r="B407" s="153"/>
      <c r="C407" s="153"/>
      <c r="D407" s="177"/>
      <c r="E407" s="153"/>
      <c r="F407" s="178"/>
      <c r="G407" s="179"/>
      <c r="H407" s="180"/>
      <c r="I407" s="180"/>
      <c r="J407" s="181"/>
      <c r="K407" s="182"/>
      <c r="L407" s="177"/>
      <c r="M407" s="183"/>
      <c r="N407" s="184"/>
      <c r="O407" s="185"/>
      <c r="P407" s="184"/>
      <c r="Q407" s="184"/>
      <c r="R407" s="184"/>
      <c r="S407" s="184"/>
      <c r="T407" s="184"/>
    </row>
    <row r="408" spans="1:20" ht="12.75">
      <c r="A408" s="176"/>
      <c r="B408" s="153"/>
      <c r="C408" s="153"/>
      <c r="D408" s="177"/>
      <c r="E408" s="153"/>
      <c r="F408" s="178"/>
      <c r="G408" s="179"/>
      <c r="H408" s="180"/>
      <c r="I408" s="180"/>
      <c r="J408" s="181"/>
      <c r="K408" s="182"/>
      <c r="L408" s="177"/>
      <c r="M408" s="183"/>
      <c r="N408" s="184"/>
      <c r="O408" s="185"/>
      <c r="P408" s="184"/>
      <c r="Q408" s="184"/>
      <c r="R408" s="184"/>
      <c r="S408" s="184"/>
      <c r="T408" s="184"/>
    </row>
    <row r="409" spans="1:20" ht="12.75">
      <c r="A409" s="176"/>
      <c r="B409" s="153"/>
      <c r="C409" s="153"/>
      <c r="D409" s="177"/>
      <c r="E409" s="153"/>
      <c r="F409" s="178"/>
      <c r="G409" s="179"/>
      <c r="H409" s="180"/>
      <c r="I409" s="180"/>
      <c r="J409" s="181"/>
      <c r="K409" s="182"/>
      <c r="L409" s="177"/>
      <c r="M409" s="183"/>
      <c r="N409" s="184"/>
      <c r="O409" s="185"/>
      <c r="P409" s="184"/>
      <c r="Q409" s="184"/>
      <c r="R409" s="184"/>
      <c r="S409" s="184"/>
      <c r="T409" s="184"/>
    </row>
    <row r="410" spans="1:20" ht="12.75">
      <c r="A410" s="176"/>
      <c r="B410" s="153"/>
      <c r="C410" s="153"/>
      <c r="D410" s="177"/>
      <c r="E410" s="153"/>
      <c r="F410" s="178"/>
      <c r="G410" s="179"/>
      <c r="H410" s="180"/>
      <c r="I410" s="180"/>
      <c r="J410" s="181"/>
      <c r="K410" s="182"/>
      <c r="L410" s="177"/>
      <c r="M410" s="183"/>
      <c r="N410" s="184"/>
      <c r="O410" s="185"/>
      <c r="P410" s="184"/>
      <c r="Q410" s="184"/>
      <c r="R410" s="184"/>
      <c r="S410" s="184"/>
      <c r="T410" s="184"/>
    </row>
    <row r="411" spans="1:20" ht="12.75">
      <c r="A411" s="176"/>
      <c r="B411" s="153"/>
      <c r="C411" s="153"/>
      <c r="D411" s="177"/>
      <c r="E411" s="153"/>
      <c r="F411" s="178"/>
      <c r="G411" s="179"/>
      <c r="H411" s="180"/>
      <c r="I411" s="180"/>
      <c r="J411" s="181"/>
      <c r="K411" s="182"/>
      <c r="L411" s="177"/>
      <c r="M411" s="183"/>
      <c r="N411" s="184"/>
      <c r="O411" s="185"/>
      <c r="P411" s="184"/>
      <c r="Q411" s="184"/>
      <c r="R411" s="184"/>
      <c r="S411" s="184"/>
      <c r="T411" s="184"/>
    </row>
    <row r="412" spans="1:20" ht="12.75">
      <c r="A412" s="176"/>
      <c r="B412" s="153"/>
      <c r="C412" s="153"/>
      <c r="D412" s="177"/>
      <c r="E412" s="153"/>
      <c r="F412" s="178"/>
      <c r="G412" s="179"/>
      <c r="H412" s="180"/>
      <c r="I412" s="180"/>
      <c r="J412" s="181"/>
      <c r="K412" s="182"/>
      <c r="L412" s="177"/>
      <c r="M412" s="183"/>
      <c r="N412" s="184"/>
      <c r="O412" s="185"/>
      <c r="P412" s="184"/>
      <c r="Q412" s="184"/>
      <c r="R412" s="184"/>
      <c r="S412" s="184"/>
      <c r="T412" s="184"/>
    </row>
    <row r="413" spans="1:20" ht="12.75">
      <c r="A413" s="176"/>
      <c r="B413" s="153"/>
      <c r="C413" s="153"/>
      <c r="D413" s="177"/>
      <c r="E413" s="153"/>
      <c r="F413" s="178"/>
      <c r="G413" s="179"/>
      <c r="H413" s="180"/>
      <c r="I413" s="180"/>
      <c r="J413" s="181"/>
      <c r="K413" s="182"/>
      <c r="L413" s="177"/>
      <c r="M413" s="183"/>
      <c r="N413" s="184"/>
      <c r="O413" s="185"/>
      <c r="P413" s="184"/>
      <c r="Q413" s="184"/>
      <c r="R413" s="184"/>
      <c r="S413" s="184"/>
      <c r="T413" s="184"/>
    </row>
    <row r="414" spans="1:20" ht="12.75">
      <c r="A414" s="176"/>
      <c r="B414" s="153"/>
      <c r="C414" s="153"/>
      <c r="D414" s="177"/>
      <c r="E414" s="153"/>
      <c r="F414" s="178"/>
      <c r="G414" s="179"/>
      <c r="H414" s="180"/>
      <c r="I414" s="180"/>
      <c r="J414" s="181"/>
      <c r="K414" s="182"/>
      <c r="L414" s="177"/>
      <c r="M414" s="183"/>
      <c r="N414" s="184"/>
      <c r="O414" s="185"/>
      <c r="P414" s="184"/>
      <c r="Q414" s="184"/>
      <c r="R414" s="184"/>
      <c r="S414" s="184"/>
      <c r="T414" s="184"/>
    </row>
    <row r="415" spans="1:20" ht="12.75">
      <c r="A415" s="176"/>
      <c r="B415" s="153"/>
      <c r="C415" s="153"/>
      <c r="D415" s="177"/>
      <c r="E415" s="153"/>
      <c r="F415" s="178"/>
      <c r="G415" s="179"/>
      <c r="H415" s="180"/>
      <c r="I415" s="180"/>
      <c r="J415" s="181"/>
      <c r="K415" s="182"/>
      <c r="L415" s="177"/>
      <c r="M415" s="183"/>
      <c r="N415" s="184"/>
      <c r="O415" s="185"/>
      <c r="P415" s="184"/>
      <c r="Q415" s="184"/>
      <c r="R415" s="184"/>
      <c r="S415" s="184"/>
      <c r="T415" s="184"/>
    </row>
    <row r="416" spans="1:20" ht="12.75">
      <c r="A416" s="176"/>
      <c r="B416" s="153"/>
      <c r="C416" s="153"/>
      <c r="D416" s="177"/>
      <c r="E416" s="153"/>
      <c r="F416" s="178"/>
      <c r="G416" s="179"/>
      <c r="H416" s="180"/>
      <c r="I416" s="180"/>
      <c r="J416" s="181"/>
      <c r="K416" s="182"/>
      <c r="L416" s="177"/>
      <c r="M416" s="183"/>
      <c r="N416" s="184"/>
      <c r="O416" s="185"/>
      <c r="P416" s="184"/>
      <c r="Q416" s="184"/>
      <c r="R416" s="184"/>
      <c r="S416" s="184"/>
      <c r="T416" s="184"/>
    </row>
    <row r="417" spans="1:20" ht="12.75">
      <c r="A417" s="176"/>
      <c r="B417" s="153"/>
      <c r="C417" s="153"/>
      <c r="D417" s="177"/>
      <c r="E417" s="153"/>
      <c r="F417" s="178"/>
      <c r="G417" s="179"/>
      <c r="H417" s="180"/>
      <c r="I417" s="180"/>
      <c r="J417" s="181"/>
      <c r="K417" s="182"/>
      <c r="L417" s="177"/>
      <c r="M417" s="183"/>
      <c r="N417" s="184"/>
      <c r="O417" s="185"/>
      <c r="P417" s="184"/>
      <c r="Q417" s="184"/>
      <c r="R417" s="184"/>
      <c r="S417" s="184"/>
      <c r="T417" s="184"/>
    </row>
    <row r="418" spans="1:20" ht="12.75">
      <c r="A418" s="176"/>
      <c r="B418" s="153"/>
      <c r="C418" s="153"/>
      <c r="D418" s="177"/>
      <c r="E418" s="153"/>
      <c r="F418" s="178"/>
      <c r="G418" s="179"/>
      <c r="H418" s="180"/>
      <c r="I418" s="180"/>
      <c r="J418" s="181"/>
      <c r="K418" s="182"/>
      <c r="L418" s="177"/>
      <c r="M418" s="183"/>
      <c r="N418" s="184"/>
      <c r="O418" s="185"/>
      <c r="P418" s="184"/>
      <c r="Q418" s="184"/>
      <c r="R418" s="184"/>
      <c r="S418" s="184"/>
      <c r="T418" s="184"/>
    </row>
    <row r="419" spans="1:20" ht="12.75">
      <c r="A419" s="176"/>
      <c r="B419" s="153"/>
      <c r="C419" s="153"/>
      <c r="D419" s="177"/>
      <c r="E419" s="153"/>
      <c r="F419" s="178"/>
      <c r="G419" s="179"/>
      <c r="H419" s="180"/>
      <c r="I419" s="180"/>
      <c r="J419" s="181"/>
      <c r="K419" s="182"/>
      <c r="L419" s="177"/>
      <c r="M419" s="183"/>
      <c r="N419" s="184"/>
      <c r="O419" s="185"/>
      <c r="P419" s="184"/>
      <c r="Q419" s="184"/>
      <c r="R419" s="184"/>
      <c r="S419" s="184"/>
      <c r="T419" s="184"/>
    </row>
    <row r="420" spans="1:20" ht="12.75">
      <c r="A420" s="176"/>
      <c r="B420" s="153"/>
      <c r="C420" s="153"/>
      <c r="D420" s="177"/>
      <c r="E420" s="153"/>
      <c r="F420" s="178"/>
      <c r="G420" s="179"/>
      <c r="H420" s="180"/>
      <c r="I420" s="180"/>
      <c r="J420" s="181"/>
      <c r="K420" s="182"/>
      <c r="L420" s="177"/>
      <c r="M420" s="183"/>
      <c r="N420" s="184"/>
      <c r="O420" s="185"/>
      <c r="P420" s="184"/>
      <c r="Q420" s="184"/>
      <c r="R420" s="184"/>
      <c r="S420" s="184"/>
      <c r="T420" s="184"/>
    </row>
    <row r="421" spans="1:20" ht="12.75">
      <c r="A421" s="176"/>
      <c r="B421" s="153"/>
      <c r="C421" s="153"/>
      <c r="D421" s="177"/>
      <c r="E421" s="153"/>
      <c r="F421" s="178"/>
      <c r="G421" s="179"/>
      <c r="H421" s="180"/>
      <c r="I421" s="180"/>
      <c r="J421" s="181"/>
      <c r="K421" s="182"/>
      <c r="L421" s="177"/>
      <c r="M421" s="183"/>
      <c r="N421" s="184"/>
      <c r="O421" s="185"/>
      <c r="P421" s="184"/>
      <c r="Q421" s="184"/>
      <c r="R421" s="184"/>
      <c r="S421" s="184"/>
      <c r="T421" s="184"/>
    </row>
    <row r="422" spans="1:20" ht="12.75">
      <c r="A422" s="176"/>
      <c r="B422" s="153"/>
      <c r="C422" s="153"/>
      <c r="D422" s="177"/>
      <c r="E422" s="153"/>
      <c r="F422" s="178"/>
      <c r="G422" s="179"/>
      <c r="H422" s="180"/>
      <c r="I422" s="180"/>
      <c r="J422" s="181"/>
      <c r="K422" s="182"/>
      <c r="L422" s="177"/>
      <c r="M422" s="183"/>
      <c r="N422" s="184"/>
      <c r="O422" s="185"/>
      <c r="P422" s="184"/>
      <c r="Q422" s="184"/>
      <c r="R422" s="184"/>
      <c r="S422" s="184"/>
      <c r="T422" s="184"/>
    </row>
    <row r="423" spans="1:20" ht="12.75">
      <c r="A423" s="176"/>
      <c r="B423" s="153"/>
      <c r="C423" s="153"/>
      <c r="D423" s="177"/>
      <c r="E423" s="153"/>
      <c r="F423" s="178"/>
      <c r="G423" s="179"/>
      <c r="H423" s="180"/>
      <c r="I423" s="180"/>
      <c r="J423" s="181"/>
      <c r="K423" s="182"/>
      <c r="L423" s="177"/>
      <c r="M423" s="183"/>
      <c r="N423" s="184"/>
      <c r="O423" s="185"/>
      <c r="P423" s="184"/>
      <c r="Q423" s="184"/>
      <c r="R423" s="184"/>
      <c r="S423" s="184"/>
      <c r="T423" s="184"/>
    </row>
    <row r="424" spans="1:20" ht="12.75">
      <c r="A424" s="176"/>
      <c r="B424" s="153"/>
      <c r="C424" s="153"/>
      <c r="D424" s="177"/>
      <c r="E424" s="153"/>
      <c r="F424" s="178"/>
      <c r="G424" s="179"/>
      <c r="H424" s="180"/>
      <c r="I424" s="180"/>
      <c r="J424" s="181"/>
      <c r="K424" s="182"/>
      <c r="L424" s="177"/>
      <c r="M424" s="183"/>
      <c r="N424" s="184"/>
      <c r="O424" s="185"/>
      <c r="P424" s="184"/>
      <c r="Q424" s="184"/>
      <c r="R424" s="184"/>
      <c r="S424" s="184"/>
      <c r="T424" s="184"/>
    </row>
    <row r="425" spans="1:20" ht="12.75">
      <c r="A425" s="176"/>
      <c r="B425" s="153"/>
      <c r="C425" s="153"/>
      <c r="D425" s="177"/>
      <c r="E425" s="153"/>
      <c r="F425" s="178"/>
      <c r="G425" s="179"/>
      <c r="H425" s="180"/>
      <c r="I425" s="180"/>
      <c r="J425" s="181"/>
      <c r="K425" s="182"/>
      <c r="L425" s="177"/>
      <c r="M425" s="183"/>
      <c r="N425" s="184"/>
      <c r="O425" s="185"/>
      <c r="P425" s="184"/>
      <c r="Q425" s="184"/>
      <c r="R425" s="184"/>
      <c r="S425" s="184"/>
      <c r="T425" s="184"/>
    </row>
    <row r="426" spans="1:20" ht="12.75">
      <c r="A426" s="176"/>
      <c r="B426" s="153"/>
      <c r="C426" s="153"/>
      <c r="D426" s="177"/>
      <c r="E426" s="153"/>
      <c r="F426" s="178"/>
      <c r="G426" s="179"/>
      <c r="H426" s="180"/>
      <c r="I426" s="180"/>
      <c r="J426" s="181"/>
      <c r="K426" s="182"/>
      <c r="L426" s="177"/>
      <c r="M426" s="183"/>
      <c r="N426" s="184"/>
      <c r="O426" s="185"/>
      <c r="P426" s="184"/>
      <c r="Q426" s="184"/>
      <c r="R426" s="184"/>
      <c r="S426" s="184"/>
      <c r="T426" s="184"/>
    </row>
    <row r="427" spans="1:20" ht="12.75">
      <c r="A427" s="176"/>
      <c r="B427" s="153"/>
      <c r="C427" s="153"/>
      <c r="D427" s="177"/>
      <c r="E427" s="153"/>
      <c r="F427" s="178"/>
      <c r="G427" s="179"/>
      <c r="H427" s="180"/>
      <c r="I427" s="180"/>
      <c r="J427" s="181"/>
      <c r="K427" s="182"/>
      <c r="L427" s="177"/>
      <c r="M427" s="183"/>
      <c r="N427" s="184"/>
      <c r="O427" s="185"/>
      <c r="P427" s="184"/>
      <c r="Q427" s="184"/>
      <c r="R427" s="184"/>
      <c r="S427" s="184"/>
      <c r="T427" s="184"/>
    </row>
    <row r="428" spans="1:20" ht="12.75">
      <c r="A428" s="176"/>
      <c r="B428" s="153"/>
      <c r="C428" s="153"/>
      <c r="D428" s="177"/>
      <c r="E428" s="153"/>
      <c r="F428" s="178"/>
      <c r="G428" s="179"/>
      <c r="H428" s="180"/>
      <c r="I428" s="180"/>
      <c r="J428" s="181"/>
      <c r="K428" s="182"/>
      <c r="L428" s="177"/>
      <c r="M428" s="183"/>
      <c r="N428" s="184"/>
      <c r="O428" s="185"/>
      <c r="P428" s="184"/>
      <c r="Q428" s="184"/>
      <c r="R428" s="184"/>
      <c r="S428" s="184"/>
      <c r="T428" s="184"/>
    </row>
    <row r="429" spans="1:20" ht="12.75">
      <c r="A429" s="176"/>
      <c r="B429" s="153"/>
      <c r="C429" s="153"/>
      <c r="D429" s="177"/>
      <c r="E429" s="153"/>
      <c r="F429" s="178"/>
      <c r="G429" s="179"/>
      <c r="H429" s="180"/>
      <c r="I429" s="180"/>
      <c r="J429" s="181"/>
      <c r="K429" s="182"/>
      <c r="L429" s="177"/>
      <c r="M429" s="183"/>
      <c r="N429" s="184"/>
      <c r="O429" s="185"/>
      <c r="P429" s="184"/>
      <c r="Q429" s="184"/>
      <c r="R429" s="184"/>
      <c r="S429" s="184"/>
      <c r="T429" s="184"/>
    </row>
    <row r="430" spans="1:20" ht="12.75">
      <c r="A430" s="176"/>
      <c r="B430" s="153"/>
      <c r="C430" s="153"/>
      <c r="D430" s="177"/>
      <c r="E430" s="153"/>
      <c r="F430" s="178"/>
      <c r="G430" s="179"/>
      <c r="H430" s="180"/>
      <c r="I430" s="180"/>
      <c r="J430" s="181"/>
      <c r="K430" s="182"/>
      <c r="L430" s="177"/>
      <c r="M430" s="183"/>
      <c r="N430" s="184"/>
      <c r="O430" s="185"/>
      <c r="P430" s="184"/>
      <c r="Q430" s="184"/>
      <c r="R430" s="184"/>
      <c r="S430" s="184"/>
      <c r="T430" s="184"/>
    </row>
    <row r="431" spans="1:20" ht="12.75">
      <c r="A431" s="176"/>
      <c r="B431" s="153"/>
      <c r="C431" s="153"/>
      <c r="D431" s="177"/>
      <c r="E431" s="153"/>
      <c r="F431" s="178"/>
      <c r="G431" s="179"/>
      <c r="H431" s="180"/>
      <c r="I431" s="180"/>
      <c r="J431" s="181"/>
      <c r="K431" s="182"/>
      <c r="L431" s="177"/>
      <c r="M431" s="183"/>
      <c r="N431" s="184"/>
      <c r="O431" s="185"/>
      <c r="P431" s="184"/>
      <c r="Q431" s="184"/>
      <c r="R431" s="184"/>
      <c r="S431" s="184"/>
      <c r="T431" s="184"/>
    </row>
    <row r="432" spans="1:20" ht="12.75">
      <c r="A432" s="176"/>
      <c r="B432" s="153"/>
      <c r="C432" s="153"/>
      <c r="D432" s="177"/>
      <c r="E432" s="153"/>
      <c r="F432" s="178"/>
      <c r="G432" s="179"/>
      <c r="H432" s="180"/>
      <c r="I432" s="180"/>
      <c r="J432" s="181"/>
      <c r="K432" s="182"/>
      <c r="L432" s="177"/>
      <c r="M432" s="183"/>
      <c r="N432" s="184"/>
      <c r="O432" s="185"/>
      <c r="P432" s="184"/>
      <c r="Q432" s="184"/>
      <c r="R432" s="184"/>
      <c r="S432" s="184"/>
      <c r="T432" s="184"/>
    </row>
    <row r="433" spans="1:20" ht="12.75">
      <c r="A433" s="176"/>
      <c r="B433" s="153"/>
      <c r="C433" s="153"/>
      <c r="D433" s="177"/>
      <c r="E433" s="153"/>
      <c r="F433" s="178"/>
      <c r="G433" s="179"/>
      <c r="H433" s="180"/>
      <c r="I433" s="180"/>
      <c r="J433" s="181"/>
      <c r="K433" s="182"/>
      <c r="L433" s="177"/>
      <c r="M433" s="183"/>
      <c r="N433" s="184"/>
      <c r="O433" s="185"/>
      <c r="P433" s="184"/>
      <c r="Q433" s="184"/>
      <c r="R433" s="184"/>
      <c r="S433" s="184"/>
      <c r="T433" s="184"/>
    </row>
    <row r="434" spans="1:20" ht="12.75">
      <c r="A434" s="176"/>
      <c r="B434" s="153"/>
      <c r="C434" s="153"/>
      <c r="D434" s="177"/>
      <c r="E434" s="153"/>
      <c r="F434" s="178"/>
      <c r="G434" s="179"/>
      <c r="H434" s="180"/>
      <c r="I434" s="180"/>
      <c r="J434" s="181"/>
      <c r="K434" s="182"/>
      <c r="L434" s="177"/>
      <c r="M434" s="183"/>
      <c r="N434" s="184"/>
      <c r="O434" s="185"/>
      <c r="P434" s="184"/>
      <c r="Q434" s="184"/>
      <c r="R434" s="184"/>
      <c r="S434" s="184"/>
      <c r="T434" s="184"/>
    </row>
    <row r="435" spans="1:20" ht="12.75">
      <c r="A435" s="176"/>
      <c r="B435" s="153"/>
      <c r="C435" s="153"/>
      <c r="D435" s="177"/>
      <c r="E435" s="153"/>
      <c r="F435" s="178"/>
      <c r="G435" s="179"/>
      <c r="H435" s="180"/>
      <c r="I435" s="180"/>
      <c r="J435" s="181"/>
      <c r="K435" s="182"/>
      <c r="L435" s="177"/>
      <c r="M435" s="183"/>
      <c r="N435" s="184"/>
      <c r="O435" s="185"/>
      <c r="P435" s="184"/>
      <c r="Q435" s="184"/>
      <c r="R435" s="184"/>
      <c r="S435" s="184"/>
      <c r="T435" s="184"/>
    </row>
    <row r="436" spans="1:20" ht="12.75">
      <c r="A436" s="176"/>
      <c r="B436" s="153"/>
      <c r="C436" s="153"/>
      <c r="D436" s="177"/>
      <c r="E436" s="153"/>
      <c r="F436" s="178"/>
      <c r="G436" s="179"/>
      <c r="H436" s="180"/>
      <c r="I436" s="180"/>
      <c r="J436" s="181"/>
      <c r="K436" s="182"/>
      <c r="L436" s="177"/>
      <c r="M436" s="183"/>
      <c r="N436" s="184"/>
      <c r="O436" s="185"/>
      <c r="P436" s="184"/>
      <c r="Q436" s="184"/>
      <c r="R436" s="184"/>
      <c r="S436" s="184"/>
      <c r="T436" s="184"/>
    </row>
    <row r="437" spans="1:20" ht="12.75">
      <c r="A437" s="176"/>
      <c r="B437" s="153"/>
      <c r="C437" s="153"/>
      <c r="D437" s="177"/>
      <c r="E437" s="153"/>
      <c r="F437" s="178"/>
      <c r="G437" s="179"/>
      <c r="H437" s="180"/>
      <c r="I437" s="180"/>
      <c r="J437" s="181"/>
      <c r="K437" s="182"/>
      <c r="L437" s="177"/>
      <c r="M437" s="183"/>
      <c r="N437" s="184"/>
      <c r="O437" s="185"/>
      <c r="P437" s="184"/>
      <c r="Q437" s="184"/>
      <c r="R437" s="184"/>
      <c r="S437" s="184"/>
      <c r="T437" s="184"/>
    </row>
    <row r="438" spans="1:20" ht="12.75">
      <c r="A438" s="176"/>
      <c r="B438" s="153"/>
      <c r="C438" s="153"/>
      <c r="D438" s="177"/>
      <c r="E438" s="153"/>
      <c r="F438" s="178"/>
      <c r="G438" s="179"/>
      <c r="H438" s="180"/>
      <c r="I438" s="180"/>
      <c r="J438" s="181"/>
      <c r="K438" s="182"/>
      <c r="L438" s="177"/>
      <c r="M438" s="183"/>
      <c r="N438" s="184"/>
      <c r="O438" s="185"/>
      <c r="P438" s="184"/>
      <c r="Q438" s="184"/>
      <c r="R438" s="184"/>
      <c r="S438" s="184"/>
      <c r="T438" s="184"/>
    </row>
    <row r="439" spans="1:20" ht="12.75">
      <c r="A439" s="176"/>
      <c r="B439" s="153"/>
      <c r="C439" s="153"/>
      <c r="D439" s="177"/>
      <c r="E439" s="153"/>
      <c r="F439" s="178"/>
      <c r="G439" s="179"/>
      <c r="H439" s="180"/>
      <c r="I439" s="180"/>
      <c r="J439" s="181"/>
      <c r="K439" s="182"/>
      <c r="L439" s="177"/>
      <c r="M439" s="183"/>
      <c r="N439" s="184"/>
      <c r="O439" s="185"/>
      <c r="P439" s="184"/>
      <c r="Q439" s="184"/>
      <c r="R439" s="184"/>
      <c r="S439" s="184"/>
      <c r="T439" s="184"/>
    </row>
    <row r="440" spans="1:20" ht="12.75">
      <c r="A440" s="176"/>
      <c r="B440" s="153"/>
      <c r="C440" s="153"/>
      <c r="D440" s="177"/>
      <c r="E440" s="153"/>
      <c r="F440" s="178"/>
      <c r="G440" s="179"/>
      <c r="H440" s="180"/>
      <c r="I440" s="180"/>
      <c r="J440" s="181"/>
      <c r="K440" s="182"/>
      <c r="L440" s="177"/>
      <c r="M440" s="183"/>
      <c r="N440" s="184"/>
      <c r="O440" s="185"/>
      <c r="P440" s="184"/>
      <c r="Q440" s="184"/>
      <c r="R440" s="184"/>
      <c r="S440" s="184"/>
      <c r="T440" s="184"/>
    </row>
    <row r="441" spans="1:20" ht="12.75">
      <c r="A441" s="176"/>
      <c r="B441" s="153"/>
      <c r="C441" s="153"/>
      <c r="D441" s="177"/>
      <c r="E441" s="153"/>
      <c r="F441" s="178"/>
      <c r="G441" s="179"/>
      <c r="H441" s="180"/>
      <c r="I441" s="180"/>
      <c r="J441" s="181"/>
      <c r="K441" s="182"/>
      <c r="L441" s="177"/>
      <c r="M441" s="183"/>
      <c r="N441" s="184"/>
      <c r="O441" s="185"/>
      <c r="P441" s="184"/>
      <c r="Q441" s="184"/>
      <c r="R441" s="184"/>
      <c r="S441" s="184"/>
      <c r="T441" s="184"/>
    </row>
    <row r="442" spans="1:20" ht="12.75">
      <c r="A442" s="176"/>
      <c r="B442" s="153"/>
      <c r="C442" s="153"/>
      <c r="D442" s="177"/>
      <c r="E442" s="153"/>
      <c r="F442" s="178"/>
      <c r="G442" s="179"/>
      <c r="H442" s="180"/>
      <c r="I442" s="180"/>
      <c r="J442" s="181"/>
      <c r="K442" s="182"/>
      <c r="L442" s="177"/>
      <c r="M442" s="183"/>
      <c r="N442" s="184"/>
      <c r="O442" s="185"/>
      <c r="P442" s="184"/>
      <c r="Q442" s="184"/>
      <c r="R442" s="184"/>
      <c r="S442" s="184"/>
      <c r="T442" s="184"/>
    </row>
    <row r="443" spans="1:20" ht="12.75">
      <c r="A443" s="176"/>
      <c r="B443" s="153"/>
      <c r="C443" s="153"/>
      <c r="D443" s="177"/>
      <c r="E443" s="153"/>
      <c r="F443" s="178"/>
      <c r="G443" s="179"/>
      <c r="H443" s="180"/>
      <c r="I443" s="180"/>
      <c r="J443" s="181"/>
      <c r="K443" s="182"/>
      <c r="L443" s="177"/>
      <c r="M443" s="183"/>
      <c r="N443" s="184"/>
      <c r="O443" s="185"/>
      <c r="P443" s="184"/>
      <c r="Q443" s="184"/>
      <c r="R443" s="184"/>
      <c r="S443" s="184"/>
      <c r="T443" s="184"/>
    </row>
    <row r="444" spans="1:20" ht="12.75">
      <c r="A444" s="176"/>
      <c r="B444" s="153"/>
      <c r="C444" s="153"/>
      <c r="D444" s="177"/>
      <c r="E444" s="153"/>
      <c r="F444" s="178"/>
      <c r="G444" s="179"/>
      <c r="H444" s="180"/>
      <c r="I444" s="180"/>
      <c r="J444" s="181"/>
      <c r="K444" s="182"/>
      <c r="L444" s="177"/>
      <c r="M444" s="183"/>
      <c r="N444" s="184"/>
      <c r="O444" s="185"/>
      <c r="P444" s="184"/>
      <c r="Q444" s="184"/>
      <c r="R444" s="184"/>
      <c r="S444" s="184"/>
      <c r="T444" s="184"/>
    </row>
    <row r="445" spans="1:20" ht="12.75">
      <c r="A445" s="176"/>
      <c r="B445" s="153"/>
      <c r="C445" s="153"/>
      <c r="D445" s="177"/>
      <c r="E445" s="153"/>
      <c r="F445" s="178"/>
      <c r="G445" s="179"/>
      <c r="H445" s="180"/>
      <c r="I445" s="180"/>
      <c r="J445" s="181"/>
      <c r="K445" s="182"/>
      <c r="L445" s="177"/>
      <c r="M445" s="183"/>
      <c r="N445" s="184"/>
      <c r="O445" s="185"/>
      <c r="P445" s="184"/>
      <c r="Q445" s="184"/>
      <c r="R445" s="184"/>
      <c r="S445" s="184"/>
      <c r="T445" s="184"/>
    </row>
    <row r="446" spans="1:20" ht="12.75">
      <c r="A446" s="176"/>
      <c r="B446" s="153"/>
      <c r="C446" s="153"/>
      <c r="D446" s="177"/>
      <c r="E446" s="153"/>
      <c r="F446" s="178"/>
      <c r="G446" s="179"/>
      <c r="H446" s="180"/>
      <c r="I446" s="180"/>
      <c r="J446" s="181"/>
      <c r="K446" s="182"/>
      <c r="L446" s="177"/>
      <c r="M446" s="183"/>
      <c r="N446" s="184"/>
      <c r="O446" s="185"/>
      <c r="P446" s="184"/>
      <c r="Q446" s="184"/>
      <c r="R446" s="184"/>
      <c r="S446" s="184"/>
      <c r="T446" s="184"/>
    </row>
    <row r="447" spans="1:20" ht="12.75">
      <c r="A447" s="176"/>
      <c r="B447" s="153"/>
      <c r="C447" s="153"/>
      <c r="D447" s="177"/>
      <c r="E447" s="153"/>
      <c r="F447" s="178"/>
      <c r="G447" s="179"/>
      <c r="H447" s="180"/>
      <c r="I447" s="180"/>
      <c r="J447" s="181"/>
      <c r="K447" s="182"/>
      <c r="L447" s="177"/>
      <c r="M447" s="183"/>
      <c r="N447" s="184"/>
      <c r="O447" s="185"/>
      <c r="P447" s="184"/>
      <c r="Q447" s="184"/>
      <c r="R447" s="184"/>
      <c r="S447" s="184"/>
      <c r="T447" s="184"/>
    </row>
    <row r="448" spans="1:20" ht="12.75">
      <c r="A448" s="176"/>
      <c r="B448" s="153"/>
      <c r="C448" s="153"/>
      <c r="D448" s="177"/>
      <c r="E448" s="153"/>
      <c r="F448" s="178"/>
      <c r="G448" s="179"/>
      <c r="H448" s="180"/>
      <c r="I448" s="180"/>
      <c r="J448" s="181"/>
      <c r="K448" s="182"/>
      <c r="L448" s="177"/>
      <c r="M448" s="183"/>
      <c r="N448" s="184"/>
      <c r="O448" s="185"/>
      <c r="P448" s="184"/>
      <c r="Q448" s="184"/>
      <c r="R448" s="184"/>
      <c r="S448" s="184"/>
      <c r="T448" s="184"/>
    </row>
    <row r="449" spans="1:20" ht="12.75">
      <c r="A449" s="176"/>
      <c r="B449" s="153"/>
      <c r="C449" s="153"/>
      <c r="D449" s="177"/>
      <c r="E449" s="153"/>
      <c r="F449" s="178"/>
      <c r="G449" s="179"/>
      <c r="H449" s="180"/>
      <c r="I449" s="180"/>
      <c r="J449" s="181"/>
      <c r="K449" s="182"/>
      <c r="L449" s="177"/>
      <c r="M449" s="183"/>
      <c r="N449" s="184"/>
      <c r="O449" s="185"/>
      <c r="P449" s="184"/>
      <c r="Q449" s="184"/>
      <c r="R449" s="184"/>
      <c r="S449" s="184"/>
      <c r="T449" s="184"/>
    </row>
    <row r="450" spans="1:20" ht="12.75">
      <c r="A450" s="176"/>
      <c r="B450" s="153"/>
      <c r="C450" s="153"/>
      <c r="D450" s="177"/>
      <c r="E450" s="153"/>
      <c r="F450" s="178"/>
      <c r="G450" s="179"/>
      <c r="H450" s="180"/>
      <c r="I450" s="180"/>
      <c r="J450" s="181"/>
      <c r="K450" s="182"/>
      <c r="L450" s="177"/>
      <c r="M450" s="183"/>
      <c r="N450" s="184"/>
      <c r="O450" s="185"/>
      <c r="P450" s="184"/>
      <c r="Q450" s="184"/>
      <c r="R450" s="184"/>
      <c r="S450" s="184"/>
      <c r="T450" s="184"/>
    </row>
    <row r="451" spans="1:20" ht="12.75">
      <c r="A451" s="176"/>
      <c r="B451" s="153"/>
      <c r="C451" s="153"/>
      <c r="D451" s="177"/>
      <c r="E451" s="153"/>
      <c r="F451" s="178"/>
      <c r="G451" s="179"/>
      <c r="H451" s="180"/>
      <c r="I451" s="180"/>
      <c r="J451" s="181"/>
      <c r="K451" s="182"/>
      <c r="L451" s="177"/>
      <c r="M451" s="183"/>
      <c r="N451" s="184"/>
      <c r="O451" s="185"/>
      <c r="P451" s="184"/>
      <c r="Q451" s="184"/>
      <c r="R451" s="184"/>
      <c r="S451" s="184"/>
      <c r="T451" s="184"/>
    </row>
    <row r="452" spans="1:20" ht="12.75">
      <c r="A452" s="176"/>
      <c r="B452" s="153"/>
      <c r="C452" s="153"/>
      <c r="D452" s="177"/>
      <c r="E452" s="153"/>
      <c r="F452" s="178"/>
      <c r="G452" s="179"/>
      <c r="H452" s="180"/>
      <c r="I452" s="180"/>
      <c r="J452" s="181"/>
      <c r="K452" s="182"/>
      <c r="L452" s="177"/>
      <c r="M452" s="183"/>
      <c r="N452" s="184"/>
      <c r="O452" s="185"/>
      <c r="P452" s="184"/>
      <c r="Q452" s="184"/>
      <c r="R452" s="184"/>
      <c r="S452" s="184"/>
      <c r="T452" s="184"/>
    </row>
    <row r="453" spans="1:20" ht="12.75">
      <c r="A453" s="176"/>
      <c r="B453" s="153"/>
      <c r="C453" s="153"/>
      <c r="D453" s="177"/>
      <c r="E453" s="153"/>
      <c r="F453" s="178"/>
      <c r="G453" s="179"/>
      <c r="H453" s="180"/>
      <c r="I453" s="180"/>
      <c r="J453" s="181"/>
      <c r="K453" s="182"/>
      <c r="L453" s="177"/>
      <c r="M453" s="183"/>
      <c r="N453" s="184"/>
      <c r="O453" s="185"/>
      <c r="P453" s="184"/>
      <c r="Q453" s="184"/>
      <c r="R453" s="184"/>
      <c r="S453" s="184"/>
      <c r="T453" s="184"/>
    </row>
    <row r="454" spans="1:20" ht="12.75">
      <c r="A454" s="176"/>
      <c r="B454" s="153"/>
      <c r="C454" s="153"/>
      <c r="D454" s="177"/>
      <c r="E454" s="153"/>
      <c r="F454" s="178"/>
      <c r="G454" s="179"/>
      <c r="H454" s="180"/>
      <c r="I454" s="180"/>
      <c r="J454" s="181"/>
      <c r="K454" s="182"/>
      <c r="L454" s="177"/>
      <c r="M454" s="183"/>
      <c r="N454" s="184"/>
      <c r="O454" s="185"/>
      <c r="P454" s="184"/>
      <c r="Q454" s="184"/>
      <c r="R454" s="184"/>
      <c r="S454" s="184"/>
      <c r="T454" s="184"/>
    </row>
    <row r="455" spans="1:20" ht="12.75">
      <c r="A455" s="176"/>
      <c r="B455" s="153"/>
      <c r="C455" s="153"/>
      <c r="D455" s="177"/>
      <c r="E455" s="153"/>
      <c r="F455" s="178"/>
      <c r="G455" s="179"/>
      <c r="H455" s="180"/>
      <c r="I455" s="180"/>
      <c r="J455" s="181"/>
      <c r="K455" s="182"/>
      <c r="L455" s="177"/>
      <c r="M455" s="183"/>
      <c r="N455" s="184"/>
      <c r="O455" s="185"/>
      <c r="P455" s="184"/>
      <c r="Q455" s="184"/>
      <c r="R455" s="184"/>
      <c r="S455" s="184"/>
      <c r="T455" s="184"/>
    </row>
    <row r="456" spans="1:20" ht="12.75">
      <c r="A456" s="176"/>
      <c r="B456" s="153"/>
      <c r="C456" s="153"/>
      <c r="D456" s="177"/>
      <c r="E456" s="153"/>
      <c r="F456" s="178"/>
      <c r="G456" s="179"/>
      <c r="H456" s="180"/>
      <c r="I456" s="180"/>
      <c r="J456" s="181"/>
      <c r="K456" s="182"/>
      <c r="L456" s="177"/>
      <c r="M456" s="183"/>
      <c r="N456" s="184"/>
      <c r="O456" s="185"/>
      <c r="P456" s="184"/>
      <c r="Q456" s="184"/>
      <c r="R456" s="184"/>
      <c r="S456" s="184"/>
      <c r="T456" s="184"/>
    </row>
    <row r="457" spans="1:20" ht="12.75">
      <c r="A457" s="176"/>
      <c r="B457" s="153"/>
      <c r="C457" s="153"/>
      <c r="D457" s="177"/>
      <c r="E457" s="153"/>
      <c r="F457" s="178"/>
      <c r="G457" s="179"/>
      <c r="H457" s="180"/>
      <c r="I457" s="180"/>
      <c r="J457" s="181"/>
      <c r="K457" s="182"/>
      <c r="L457" s="177"/>
      <c r="M457" s="183"/>
      <c r="N457" s="184"/>
      <c r="O457" s="185"/>
      <c r="P457" s="184"/>
      <c r="Q457" s="184"/>
      <c r="R457" s="184"/>
      <c r="S457" s="184"/>
      <c r="T457" s="184"/>
    </row>
    <row r="458" spans="1:20" ht="12.75">
      <c r="A458" s="176"/>
      <c r="B458" s="153"/>
      <c r="C458" s="153"/>
      <c r="D458" s="177"/>
      <c r="E458" s="153"/>
      <c r="F458" s="178"/>
      <c r="G458" s="179"/>
      <c r="H458" s="180"/>
      <c r="I458" s="180"/>
      <c r="J458" s="181"/>
      <c r="K458" s="182"/>
      <c r="L458" s="177"/>
      <c r="M458" s="183"/>
      <c r="N458" s="184"/>
      <c r="O458" s="185"/>
      <c r="P458" s="184"/>
      <c r="Q458" s="184"/>
      <c r="R458" s="184"/>
      <c r="S458" s="184"/>
      <c r="T458" s="184"/>
    </row>
    <row r="459" spans="1:20" ht="12.75">
      <c r="A459" s="176"/>
      <c r="B459" s="153"/>
      <c r="C459" s="153"/>
      <c r="D459" s="177"/>
      <c r="E459" s="153"/>
      <c r="F459" s="178"/>
      <c r="G459" s="179"/>
      <c r="H459" s="180"/>
      <c r="I459" s="180"/>
      <c r="J459" s="181"/>
      <c r="K459" s="182"/>
      <c r="L459" s="177"/>
      <c r="M459" s="183"/>
      <c r="N459" s="184"/>
      <c r="O459" s="185"/>
      <c r="P459" s="184"/>
      <c r="Q459" s="184"/>
      <c r="R459" s="184"/>
      <c r="S459" s="184"/>
      <c r="T459" s="184"/>
    </row>
    <row r="460" spans="1:20" ht="12.75">
      <c r="A460" s="176"/>
      <c r="B460" s="153"/>
      <c r="C460" s="153"/>
      <c r="D460" s="177"/>
      <c r="E460" s="153"/>
      <c r="F460" s="178"/>
      <c r="G460" s="179"/>
      <c r="H460" s="180"/>
      <c r="I460" s="180"/>
      <c r="J460" s="181"/>
      <c r="K460" s="182"/>
      <c r="L460" s="177"/>
      <c r="M460" s="183"/>
      <c r="N460" s="184"/>
      <c r="O460" s="185"/>
      <c r="P460" s="184"/>
      <c r="Q460" s="184"/>
      <c r="R460" s="184"/>
      <c r="S460" s="184"/>
      <c r="T460" s="184"/>
    </row>
    <row r="461" spans="1:20" ht="12.75">
      <c r="A461" s="176"/>
      <c r="B461" s="153"/>
      <c r="C461" s="153"/>
      <c r="D461" s="177"/>
      <c r="E461" s="153"/>
      <c r="F461" s="178"/>
      <c r="G461" s="179"/>
      <c r="H461" s="180"/>
      <c r="I461" s="180"/>
      <c r="J461" s="181"/>
      <c r="K461" s="182"/>
      <c r="L461" s="177"/>
      <c r="M461" s="183"/>
      <c r="N461" s="184"/>
      <c r="O461" s="185"/>
      <c r="P461" s="184"/>
      <c r="Q461" s="184"/>
      <c r="R461" s="184"/>
      <c r="S461" s="184"/>
      <c r="T461" s="184"/>
    </row>
    <row r="462" spans="1:20" ht="12.75">
      <c r="A462" s="176"/>
      <c r="B462" s="153"/>
      <c r="C462" s="153"/>
      <c r="D462" s="177"/>
      <c r="E462" s="153"/>
      <c r="F462" s="178"/>
      <c r="G462" s="179"/>
      <c r="H462" s="180"/>
      <c r="I462" s="180"/>
      <c r="J462" s="181"/>
      <c r="K462" s="182"/>
      <c r="L462" s="177"/>
      <c r="M462" s="183"/>
      <c r="N462" s="184"/>
      <c r="O462" s="185"/>
      <c r="P462" s="184"/>
      <c r="Q462" s="184"/>
      <c r="R462" s="184"/>
      <c r="S462" s="184"/>
      <c r="T462" s="184"/>
    </row>
    <row r="463" spans="1:20" ht="12.75">
      <c r="A463" s="176"/>
      <c r="B463" s="153"/>
      <c r="C463" s="153"/>
      <c r="D463" s="177"/>
      <c r="E463" s="153"/>
      <c r="F463" s="178"/>
      <c r="G463" s="179"/>
      <c r="H463" s="180"/>
      <c r="I463" s="180"/>
      <c r="J463" s="181"/>
      <c r="K463" s="182"/>
      <c r="L463" s="177"/>
      <c r="M463" s="183"/>
      <c r="N463" s="184"/>
      <c r="O463" s="185"/>
      <c r="P463" s="184"/>
      <c r="Q463" s="184"/>
      <c r="R463" s="184"/>
      <c r="S463" s="184"/>
      <c r="T463" s="184"/>
    </row>
    <row r="464" spans="1:20" ht="12.75">
      <c r="A464" s="176"/>
      <c r="B464" s="153"/>
      <c r="C464" s="153"/>
      <c r="D464" s="177"/>
      <c r="E464" s="153"/>
      <c r="F464" s="178"/>
      <c r="G464" s="179"/>
      <c r="H464" s="180"/>
      <c r="I464" s="180"/>
      <c r="J464" s="181"/>
      <c r="K464" s="182"/>
      <c r="L464" s="177"/>
      <c r="M464" s="183"/>
      <c r="N464" s="184"/>
      <c r="O464" s="185"/>
      <c r="P464" s="184"/>
      <c r="Q464" s="184"/>
      <c r="R464" s="184"/>
      <c r="S464" s="184"/>
      <c r="T464" s="184"/>
    </row>
    <row r="465" spans="1:20" ht="12.75">
      <c r="A465" s="176"/>
      <c r="B465" s="153"/>
      <c r="C465" s="153"/>
      <c r="D465" s="177"/>
      <c r="E465" s="153"/>
      <c r="F465" s="178"/>
      <c r="G465" s="179"/>
      <c r="H465" s="180"/>
      <c r="I465" s="180"/>
      <c r="J465" s="181"/>
      <c r="K465" s="182"/>
      <c r="L465" s="177"/>
      <c r="M465" s="183"/>
      <c r="N465" s="184"/>
      <c r="O465" s="185"/>
      <c r="P465" s="184"/>
      <c r="Q465" s="184"/>
      <c r="R465" s="184"/>
      <c r="S465" s="184"/>
      <c r="T465" s="184"/>
    </row>
    <row r="466" spans="1:20" ht="12.75">
      <c r="A466" s="176"/>
      <c r="B466" s="153"/>
      <c r="C466" s="153"/>
      <c r="D466" s="177"/>
      <c r="E466" s="153"/>
      <c r="F466" s="178"/>
      <c r="G466" s="179"/>
      <c r="H466" s="180"/>
      <c r="I466" s="180"/>
      <c r="J466" s="181"/>
      <c r="K466" s="182"/>
      <c r="L466" s="177"/>
      <c r="M466" s="183"/>
      <c r="N466" s="184"/>
      <c r="O466" s="185"/>
      <c r="P466" s="184"/>
      <c r="Q466" s="184"/>
      <c r="R466" s="184"/>
      <c r="S466" s="184"/>
      <c r="T466" s="184"/>
    </row>
    <row r="467" spans="1:20" ht="12.75">
      <c r="A467" s="176"/>
      <c r="B467" s="153"/>
      <c r="C467" s="153"/>
      <c r="D467" s="177"/>
      <c r="E467" s="153"/>
      <c r="F467" s="178"/>
      <c r="G467" s="179"/>
      <c r="H467" s="180"/>
      <c r="I467" s="180"/>
      <c r="J467" s="181"/>
      <c r="K467" s="182"/>
      <c r="L467" s="177"/>
      <c r="M467" s="183"/>
      <c r="N467" s="184"/>
      <c r="O467" s="185"/>
      <c r="P467" s="184"/>
      <c r="Q467" s="184"/>
      <c r="R467" s="184"/>
      <c r="S467" s="184"/>
      <c r="T467" s="184"/>
    </row>
    <row r="468" spans="1:20" ht="12.75">
      <c r="A468" s="176"/>
      <c r="B468" s="153"/>
      <c r="C468" s="153"/>
      <c r="D468" s="177"/>
      <c r="E468" s="153"/>
      <c r="F468" s="178"/>
      <c r="G468" s="179"/>
      <c r="H468" s="180"/>
      <c r="I468" s="180"/>
      <c r="J468" s="181"/>
      <c r="K468" s="182"/>
      <c r="L468" s="177"/>
      <c r="M468" s="183"/>
      <c r="N468" s="184"/>
      <c r="O468" s="185"/>
      <c r="P468" s="184"/>
      <c r="Q468" s="184"/>
      <c r="R468" s="184"/>
      <c r="S468" s="184"/>
      <c r="T468" s="184"/>
    </row>
    <row r="469" spans="1:20" ht="12.75">
      <c r="A469" s="176"/>
      <c r="B469" s="153"/>
      <c r="C469" s="153"/>
      <c r="D469" s="177"/>
      <c r="E469" s="153"/>
      <c r="F469" s="178"/>
      <c r="G469" s="179"/>
      <c r="H469" s="180"/>
      <c r="I469" s="180"/>
      <c r="J469" s="181"/>
      <c r="K469" s="182"/>
      <c r="L469" s="177"/>
      <c r="M469" s="183"/>
      <c r="N469" s="184"/>
      <c r="O469" s="185"/>
      <c r="P469" s="184"/>
      <c r="Q469" s="184"/>
      <c r="R469" s="184"/>
      <c r="S469" s="184"/>
      <c r="T469" s="184"/>
    </row>
    <row r="470" spans="1:20" ht="12.75">
      <c r="A470" s="176"/>
      <c r="B470" s="153"/>
      <c r="C470" s="153"/>
      <c r="D470" s="177"/>
      <c r="E470" s="153"/>
      <c r="F470" s="178"/>
      <c r="G470" s="179"/>
      <c r="H470" s="180"/>
      <c r="I470" s="180"/>
      <c r="J470" s="181"/>
      <c r="K470" s="182"/>
      <c r="L470" s="177"/>
      <c r="M470" s="183"/>
      <c r="N470" s="184"/>
      <c r="O470" s="185"/>
      <c r="P470" s="184"/>
      <c r="Q470" s="184"/>
      <c r="R470" s="184"/>
      <c r="S470" s="184"/>
      <c r="T470" s="184"/>
    </row>
    <row r="471" spans="1:20" ht="12.75">
      <c r="A471" s="176"/>
      <c r="B471" s="153"/>
      <c r="C471" s="153"/>
      <c r="D471" s="177"/>
      <c r="E471" s="153"/>
      <c r="F471" s="178"/>
      <c r="G471" s="179"/>
      <c r="H471" s="180"/>
      <c r="I471" s="180"/>
      <c r="J471" s="181"/>
      <c r="K471" s="182"/>
      <c r="L471" s="177"/>
      <c r="M471" s="183"/>
      <c r="N471" s="184"/>
      <c r="O471" s="185"/>
      <c r="P471" s="184"/>
      <c r="Q471" s="184"/>
      <c r="R471" s="184"/>
      <c r="S471" s="184"/>
      <c r="T471" s="184"/>
    </row>
    <row r="472" spans="1:20" ht="12.75">
      <c r="A472" s="176"/>
      <c r="B472" s="153"/>
      <c r="C472" s="153"/>
      <c r="D472" s="177"/>
      <c r="E472" s="153"/>
      <c r="F472" s="178"/>
      <c r="G472" s="179"/>
      <c r="H472" s="180"/>
      <c r="I472" s="180"/>
      <c r="J472" s="181"/>
      <c r="K472" s="182"/>
      <c r="L472" s="177"/>
      <c r="M472" s="183"/>
      <c r="N472" s="184"/>
      <c r="O472" s="185"/>
      <c r="P472" s="184"/>
      <c r="Q472" s="184"/>
      <c r="R472" s="184"/>
      <c r="S472" s="184"/>
      <c r="T472" s="184"/>
    </row>
    <row r="473" spans="1:20" ht="12.75">
      <c r="A473" s="176"/>
      <c r="B473" s="153"/>
      <c r="C473" s="153"/>
      <c r="D473" s="177"/>
      <c r="E473" s="153"/>
      <c r="F473" s="178"/>
      <c r="G473" s="179"/>
      <c r="H473" s="180"/>
      <c r="I473" s="180"/>
      <c r="J473" s="181"/>
      <c r="K473" s="182"/>
      <c r="L473" s="177"/>
      <c r="M473" s="183"/>
      <c r="N473" s="184"/>
      <c r="O473" s="185"/>
      <c r="P473" s="184"/>
      <c r="Q473" s="184"/>
      <c r="R473" s="184"/>
      <c r="S473" s="184"/>
      <c r="T473" s="184"/>
    </row>
    <row r="474" spans="1:20" ht="12.75">
      <c r="A474" s="176"/>
      <c r="B474" s="153"/>
      <c r="C474" s="153"/>
      <c r="D474" s="177"/>
      <c r="E474" s="153"/>
      <c r="F474" s="178"/>
      <c r="G474" s="179"/>
      <c r="H474" s="180"/>
      <c r="I474" s="180"/>
      <c r="J474" s="181"/>
      <c r="K474" s="182"/>
      <c r="L474" s="177"/>
      <c r="M474" s="183"/>
      <c r="N474" s="184"/>
      <c r="O474" s="185"/>
      <c r="P474" s="184"/>
      <c r="Q474" s="184"/>
      <c r="R474" s="184"/>
      <c r="S474" s="184"/>
      <c r="T474" s="184"/>
    </row>
    <row r="475" spans="1:20" ht="12.75">
      <c r="A475" s="176"/>
      <c r="B475" s="153"/>
      <c r="C475" s="153"/>
      <c r="D475" s="177"/>
      <c r="E475" s="153"/>
      <c r="F475" s="178"/>
      <c r="G475" s="179"/>
      <c r="H475" s="180"/>
      <c r="I475" s="180"/>
      <c r="J475" s="181"/>
      <c r="K475" s="182"/>
      <c r="L475" s="177"/>
      <c r="M475" s="183"/>
      <c r="N475" s="184"/>
      <c r="O475" s="185"/>
      <c r="P475" s="184"/>
      <c r="Q475" s="184"/>
      <c r="R475" s="184"/>
      <c r="S475" s="184"/>
      <c r="T475" s="184"/>
    </row>
    <row r="476" spans="1:20" ht="12.75">
      <c r="A476" s="176"/>
      <c r="B476" s="153"/>
      <c r="C476" s="153"/>
      <c r="D476" s="177"/>
      <c r="E476" s="153"/>
      <c r="F476" s="178"/>
      <c r="G476" s="179"/>
      <c r="H476" s="180"/>
      <c r="I476" s="180"/>
      <c r="J476" s="181"/>
      <c r="K476" s="182"/>
      <c r="L476" s="177"/>
      <c r="M476" s="183"/>
      <c r="N476" s="184"/>
      <c r="O476" s="185"/>
      <c r="P476" s="184"/>
      <c r="Q476" s="184"/>
      <c r="R476" s="184"/>
      <c r="S476" s="184"/>
      <c r="T476" s="184"/>
    </row>
    <row r="477" spans="1:20" ht="12.75">
      <c r="A477" s="176"/>
      <c r="B477" s="153"/>
      <c r="C477" s="153"/>
      <c r="D477" s="177"/>
      <c r="E477" s="153"/>
      <c r="F477" s="178"/>
      <c r="G477" s="179"/>
      <c r="H477" s="180"/>
      <c r="I477" s="180"/>
      <c r="J477" s="181"/>
      <c r="K477" s="182"/>
      <c r="L477" s="177"/>
      <c r="M477" s="183"/>
      <c r="N477" s="184"/>
      <c r="O477" s="185"/>
      <c r="P477" s="184"/>
      <c r="Q477" s="184"/>
      <c r="R477" s="184"/>
      <c r="S477" s="184"/>
      <c r="T477" s="184"/>
    </row>
    <row r="478" spans="1:20" ht="12.75">
      <c r="A478" s="176"/>
      <c r="B478" s="153"/>
      <c r="C478" s="153"/>
      <c r="D478" s="177"/>
      <c r="E478" s="153"/>
      <c r="F478" s="178"/>
      <c r="G478" s="179"/>
      <c r="H478" s="180"/>
      <c r="I478" s="180"/>
      <c r="J478" s="181"/>
      <c r="K478" s="182"/>
      <c r="L478" s="177"/>
      <c r="M478" s="183"/>
      <c r="N478" s="184"/>
      <c r="O478" s="185"/>
      <c r="P478" s="184"/>
      <c r="Q478" s="184"/>
      <c r="R478" s="184"/>
      <c r="S478" s="184"/>
      <c r="T478" s="184"/>
    </row>
    <row r="479" spans="1:20" ht="12.75">
      <c r="A479" s="176"/>
      <c r="B479" s="153"/>
      <c r="C479" s="153"/>
      <c r="D479" s="177"/>
      <c r="E479" s="153"/>
      <c r="F479" s="178"/>
      <c r="G479" s="179"/>
      <c r="H479" s="180"/>
      <c r="I479" s="180"/>
      <c r="J479" s="181"/>
      <c r="K479" s="182"/>
      <c r="L479" s="177"/>
      <c r="M479" s="183"/>
      <c r="N479" s="184"/>
      <c r="O479" s="185"/>
      <c r="P479" s="184"/>
      <c r="Q479" s="184"/>
      <c r="R479" s="184"/>
      <c r="S479" s="184"/>
      <c r="T479" s="184"/>
    </row>
    <row r="480" spans="1:20" ht="12.75">
      <c r="A480" s="176"/>
      <c r="B480" s="153"/>
      <c r="C480" s="153"/>
      <c r="D480" s="177"/>
      <c r="E480" s="153"/>
      <c r="F480" s="178"/>
      <c r="G480" s="179"/>
      <c r="H480" s="180"/>
      <c r="I480" s="180"/>
      <c r="J480" s="181"/>
      <c r="K480" s="182"/>
      <c r="L480" s="177"/>
      <c r="M480" s="183"/>
      <c r="N480" s="184"/>
      <c r="O480" s="185"/>
      <c r="P480" s="184"/>
      <c r="Q480" s="184"/>
      <c r="R480" s="184"/>
      <c r="S480" s="184"/>
      <c r="T480" s="184"/>
    </row>
    <row r="481" spans="1:20" ht="12.75">
      <c r="A481" s="176"/>
      <c r="B481" s="153"/>
      <c r="C481" s="153"/>
      <c r="D481" s="177"/>
      <c r="E481" s="153"/>
      <c r="F481" s="178"/>
      <c r="G481" s="179"/>
      <c r="H481" s="180"/>
      <c r="I481" s="180"/>
      <c r="J481" s="181"/>
      <c r="K481" s="182"/>
      <c r="L481" s="177"/>
      <c r="M481" s="183"/>
      <c r="N481" s="184"/>
      <c r="O481" s="185"/>
      <c r="P481" s="184"/>
      <c r="Q481" s="184"/>
      <c r="R481" s="184"/>
      <c r="S481" s="184"/>
      <c r="T481" s="184"/>
    </row>
    <row r="482" spans="1:20" ht="12.75">
      <c r="A482" s="176"/>
      <c r="B482" s="153"/>
      <c r="C482" s="153"/>
      <c r="D482" s="177"/>
      <c r="E482" s="153"/>
      <c r="F482" s="178"/>
      <c r="G482" s="179"/>
      <c r="H482" s="180"/>
      <c r="I482" s="180"/>
      <c r="J482" s="181"/>
      <c r="K482" s="182"/>
      <c r="L482" s="177"/>
      <c r="M482" s="183"/>
      <c r="N482" s="184"/>
      <c r="O482" s="185"/>
      <c r="P482" s="184"/>
      <c r="Q482" s="184"/>
      <c r="R482" s="184"/>
      <c r="S482" s="184"/>
      <c r="T482" s="184"/>
    </row>
    <row r="483" spans="1:20" ht="12.75">
      <c r="A483" s="176"/>
      <c r="B483" s="153"/>
      <c r="C483" s="153"/>
      <c r="D483" s="177"/>
      <c r="E483" s="153"/>
      <c r="F483" s="178"/>
      <c r="G483" s="179"/>
      <c r="H483" s="180"/>
      <c r="I483" s="180"/>
      <c r="J483" s="181"/>
      <c r="K483" s="182"/>
      <c r="L483" s="177"/>
      <c r="M483" s="183"/>
      <c r="N483" s="184"/>
      <c r="O483" s="185"/>
      <c r="P483" s="184"/>
      <c r="Q483" s="184"/>
      <c r="R483" s="184"/>
      <c r="S483" s="184"/>
      <c r="T483" s="184"/>
    </row>
    <row r="484" spans="1:20" ht="12.75">
      <c r="A484" s="176"/>
      <c r="B484" s="153"/>
      <c r="C484" s="153"/>
      <c r="D484" s="177"/>
      <c r="E484" s="153"/>
      <c r="F484" s="178"/>
      <c r="G484" s="179"/>
      <c r="H484" s="180"/>
      <c r="I484" s="180"/>
      <c r="J484" s="181"/>
      <c r="K484" s="182"/>
      <c r="L484" s="177"/>
      <c r="M484" s="183"/>
      <c r="N484" s="184"/>
      <c r="O484" s="185"/>
      <c r="P484" s="184"/>
      <c r="Q484" s="184"/>
      <c r="R484" s="184"/>
      <c r="S484" s="184"/>
      <c r="T484" s="184"/>
    </row>
    <row r="485" spans="1:20" ht="12.75">
      <c r="A485" s="176"/>
      <c r="B485" s="153"/>
      <c r="C485" s="153"/>
      <c r="D485" s="177"/>
      <c r="E485" s="153"/>
      <c r="F485" s="178"/>
      <c r="G485" s="179"/>
      <c r="H485" s="180"/>
      <c r="I485" s="180"/>
      <c r="J485" s="181"/>
      <c r="K485" s="182"/>
      <c r="L485" s="177"/>
      <c r="M485" s="183"/>
      <c r="N485" s="184"/>
      <c r="O485" s="185"/>
      <c r="P485" s="184"/>
      <c r="Q485" s="184"/>
      <c r="R485" s="184"/>
      <c r="S485" s="184"/>
      <c r="T485" s="184"/>
    </row>
    <row r="486" spans="1:20" ht="12.75">
      <c r="A486" s="176"/>
      <c r="B486" s="153"/>
      <c r="C486" s="153"/>
      <c r="D486" s="177"/>
      <c r="E486" s="153"/>
      <c r="F486" s="178"/>
      <c r="G486" s="179"/>
      <c r="H486" s="180"/>
      <c r="I486" s="180"/>
      <c r="J486" s="181"/>
      <c r="K486" s="182"/>
      <c r="L486" s="177"/>
      <c r="M486" s="183"/>
      <c r="N486" s="184"/>
      <c r="O486" s="185"/>
      <c r="P486" s="184"/>
      <c r="Q486" s="184"/>
      <c r="R486" s="184"/>
      <c r="S486" s="184"/>
      <c r="T486" s="184"/>
    </row>
    <row r="487" spans="1:20" ht="12.75">
      <c r="A487" s="176"/>
      <c r="B487" s="153"/>
      <c r="C487" s="153"/>
      <c r="D487" s="177"/>
      <c r="E487" s="153"/>
      <c r="F487" s="178"/>
      <c r="G487" s="179"/>
      <c r="H487" s="180"/>
      <c r="I487" s="180"/>
      <c r="J487" s="181"/>
      <c r="K487" s="182"/>
      <c r="L487" s="177"/>
      <c r="M487" s="183"/>
      <c r="N487" s="184"/>
      <c r="O487" s="185"/>
      <c r="P487" s="184"/>
      <c r="Q487" s="184"/>
      <c r="R487" s="184"/>
      <c r="S487" s="184"/>
      <c r="T487" s="184"/>
    </row>
    <row r="488" spans="1:20" ht="12.75">
      <c r="A488" s="176"/>
      <c r="B488" s="153"/>
      <c r="C488" s="153"/>
      <c r="D488" s="177"/>
      <c r="E488" s="153"/>
      <c r="F488" s="178"/>
      <c r="G488" s="179"/>
      <c r="H488" s="180"/>
      <c r="I488" s="180"/>
      <c r="J488" s="181"/>
      <c r="K488" s="182"/>
      <c r="L488" s="177"/>
      <c r="M488" s="183"/>
      <c r="N488" s="184"/>
      <c r="O488" s="185"/>
      <c r="P488" s="184"/>
      <c r="Q488" s="184"/>
      <c r="R488" s="184"/>
      <c r="S488" s="184"/>
      <c r="T488" s="184"/>
    </row>
    <row r="489" spans="1:20" ht="12.75">
      <c r="A489" s="176"/>
      <c r="B489" s="153"/>
      <c r="C489" s="153"/>
      <c r="D489" s="177"/>
      <c r="E489" s="153"/>
      <c r="F489" s="178"/>
      <c r="G489" s="179"/>
      <c r="H489" s="180"/>
      <c r="I489" s="180"/>
      <c r="J489" s="181"/>
      <c r="K489" s="182"/>
      <c r="L489" s="177"/>
      <c r="M489" s="183"/>
      <c r="N489" s="184"/>
      <c r="O489" s="185"/>
      <c r="P489" s="184"/>
      <c r="Q489" s="184"/>
      <c r="R489" s="184"/>
      <c r="S489" s="184"/>
      <c r="T489" s="184"/>
    </row>
    <row r="490" spans="1:20" ht="12.75">
      <c r="A490" s="176"/>
      <c r="B490" s="153"/>
      <c r="C490" s="153"/>
      <c r="D490" s="177"/>
      <c r="E490" s="153"/>
      <c r="F490" s="178"/>
      <c r="G490" s="179"/>
      <c r="H490" s="180"/>
      <c r="I490" s="180"/>
      <c r="J490" s="181"/>
      <c r="K490" s="182"/>
      <c r="L490" s="177"/>
      <c r="M490" s="183"/>
      <c r="N490" s="184"/>
      <c r="O490" s="185"/>
      <c r="P490" s="184"/>
      <c r="Q490" s="184"/>
      <c r="R490" s="184"/>
      <c r="S490" s="184"/>
      <c r="T490" s="184"/>
    </row>
    <row r="491" spans="1:20" ht="12.75">
      <c r="A491" s="176"/>
      <c r="B491" s="153"/>
      <c r="C491" s="153"/>
      <c r="D491" s="177"/>
      <c r="E491" s="153"/>
      <c r="F491" s="178"/>
      <c r="G491" s="179"/>
      <c r="H491" s="180"/>
      <c r="I491" s="180"/>
      <c r="J491" s="181"/>
      <c r="K491" s="182"/>
      <c r="L491" s="177"/>
      <c r="M491" s="183"/>
      <c r="N491" s="184"/>
      <c r="O491" s="185"/>
      <c r="P491" s="184"/>
      <c r="Q491" s="184"/>
      <c r="R491" s="184"/>
      <c r="S491" s="184"/>
      <c r="T491" s="184"/>
    </row>
    <row r="492" spans="1:20" ht="12.75">
      <c r="A492" s="176"/>
      <c r="B492" s="153"/>
      <c r="C492" s="153"/>
      <c r="D492" s="177"/>
      <c r="E492" s="153"/>
      <c r="F492" s="178"/>
      <c r="G492" s="179"/>
      <c r="H492" s="180"/>
      <c r="I492" s="180"/>
      <c r="J492" s="181"/>
      <c r="K492" s="182"/>
      <c r="L492" s="177"/>
      <c r="M492" s="183"/>
      <c r="N492" s="184"/>
      <c r="O492" s="185"/>
      <c r="P492" s="184"/>
      <c r="Q492" s="184"/>
      <c r="R492" s="184"/>
      <c r="S492" s="184"/>
      <c r="T492" s="184"/>
    </row>
    <row r="493" spans="1:20" ht="12.75">
      <c r="A493" s="176"/>
      <c r="B493" s="153"/>
      <c r="C493" s="153"/>
      <c r="D493" s="177"/>
      <c r="E493" s="153"/>
      <c r="F493" s="178"/>
      <c r="G493" s="179"/>
      <c r="H493" s="180"/>
      <c r="I493" s="180"/>
      <c r="J493" s="181"/>
      <c r="K493" s="182"/>
      <c r="L493" s="177"/>
      <c r="M493" s="183"/>
      <c r="N493" s="184"/>
      <c r="O493" s="185"/>
      <c r="P493" s="184"/>
      <c r="Q493" s="184"/>
      <c r="R493" s="184"/>
      <c r="S493" s="184"/>
      <c r="T493" s="184"/>
    </row>
    <row r="494" spans="1:20" ht="12.75">
      <c r="A494" s="176"/>
      <c r="B494" s="153"/>
      <c r="C494" s="153"/>
      <c r="D494" s="177"/>
      <c r="E494" s="153"/>
      <c r="F494" s="178"/>
      <c r="G494" s="179"/>
      <c r="H494" s="180"/>
      <c r="I494" s="180"/>
      <c r="J494" s="181"/>
      <c r="K494" s="182"/>
      <c r="L494" s="177"/>
      <c r="M494" s="183"/>
      <c r="N494" s="184"/>
      <c r="O494" s="185"/>
      <c r="P494" s="184"/>
      <c r="Q494" s="184"/>
      <c r="R494" s="184"/>
      <c r="S494" s="184"/>
      <c r="T494" s="184"/>
    </row>
    <row r="495" spans="1:20" ht="12.75">
      <c r="A495" s="176"/>
      <c r="B495" s="153"/>
      <c r="C495" s="153"/>
      <c r="D495" s="177"/>
      <c r="E495" s="153"/>
      <c r="F495" s="178"/>
      <c r="G495" s="179"/>
      <c r="H495" s="180"/>
      <c r="I495" s="180"/>
      <c r="J495" s="181"/>
      <c r="K495" s="182"/>
      <c r="L495" s="177"/>
      <c r="M495" s="183"/>
      <c r="N495" s="184"/>
      <c r="O495" s="185"/>
      <c r="P495" s="184"/>
      <c r="Q495" s="184"/>
      <c r="R495" s="184"/>
      <c r="S495" s="184"/>
      <c r="T495" s="184"/>
    </row>
    <row r="496" spans="1:20" ht="12.75">
      <c r="A496" s="176"/>
      <c r="B496" s="153"/>
      <c r="C496" s="153"/>
      <c r="D496" s="177"/>
      <c r="E496" s="153"/>
      <c r="F496" s="178"/>
      <c r="G496" s="179"/>
      <c r="H496" s="180"/>
      <c r="I496" s="180"/>
      <c r="J496" s="181"/>
      <c r="K496" s="182"/>
      <c r="L496" s="177"/>
      <c r="M496" s="183"/>
      <c r="N496" s="184"/>
      <c r="O496" s="185"/>
      <c r="P496" s="184"/>
      <c r="Q496" s="184"/>
      <c r="R496" s="184"/>
      <c r="S496" s="184"/>
      <c r="T496" s="184"/>
    </row>
    <row r="497" spans="1:20" ht="12.75">
      <c r="A497" s="176"/>
      <c r="B497" s="153"/>
      <c r="C497" s="153"/>
      <c r="D497" s="177"/>
      <c r="E497" s="153"/>
      <c r="F497" s="178"/>
      <c r="G497" s="179"/>
      <c r="H497" s="180"/>
      <c r="I497" s="180"/>
      <c r="J497" s="181"/>
      <c r="K497" s="182"/>
      <c r="L497" s="177"/>
      <c r="M497" s="183"/>
      <c r="N497" s="184"/>
      <c r="O497" s="185"/>
      <c r="P497" s="184"/>
      <c r="Q497" s="184"/>
      <c r="R497" s="184"/>
      <c r="S497" s="184"/>
      <c r="T497" s="184"/>
    </row>
    <row r="498" spans="1:20" ht="12.75">
      <c r="A498" s="176"/>
      <c r="B498" s="153"/>
      <c r="C498" s="153"/>
      <c r="D498" s="177"/>
      <c r="E498" s="153"/>
      <c r="F498" s="178"/>
      <c r="G498" s="179"/>
      <c r="H498" s="180"/>
      <c r="I498" s="180"/>
      <c r="J498" s="181"/>
      <c r="K498" s="182"/>
      <c r="L498" s="177"/>
      <c r="M498" s="183"/>
      <c r="N498" s="184"/>
      <c r="O498" s="185"/>
      <c r="P498" s="184"/>
      <c r="Q498" s="184"/>
      <c r="R498" s="184"/>
      <c r="S498" s="184"/>
      <c r="T498" s="184"/>
    </row>
    <row r="499" spans="1:20" ht="12.75">
      <c r="A499" s="176"/>
      <c r="B499" s="153"/>
      <c r="C499" s="153"/>
      <c r="D499" s="177"/>
      <c r="E499" s="153"/>
      <c r="F499" s="178"/>
      <c r="G499" s="179"/>
      <c r="H499" s="180"/>
      <c r="I499" s="180"/>
      <c r="J499" s="181"/>
      <c r="K499" s="182"/>
      <c r="L499" s="177"/>
      <c r="M499" s="183"/>
      <c r="N499" s="184"/>
      <c r="O499" s="185"/>
      <c r="P499" s="184"/>
      <c r="Q499" s="184"/>
      <c r="R499" s="184"/>
      <c r="S499" s="184"/>
      <c r="T499" s="184"/>
    </row>
    <row r="500" spans="1:20" ht="12.75">
      <c r="A500" s="176"/>
      <c r="B500" s="153"/>
      <c r="C500" s="153"/>
      <c r="D500" s="177"/>
      <c r="E500" s="153"/>
      <c r="F500" s="178"/>
      <c r="G500" s="179"/>
      <c r="H500" s="180"/>
      <c r="I500" s="180"/>
      <c r="J500" s="181"/>
      <c r="K500" s="182"/>
      <c r="L500" s="177"/>
      <c r="M500" s="183"/>
      <c r="N500" s="184"/>
      <c r="O500" s="185"/>
      <c r="P500" s="184"/>
      <c r="Q500" s="184"/>
      <c r="R500" s="184"/>
      <c r="S500" s="184"/>
      <c r="T500" s="184"/>
    </row>
    <row r="501" spans="1:20" ht="12.75">
      <c r="A501" s="176"/>
      <c r="B501" s="153"/>
      <c r="C501" s="153"/>
      <c r="D501" s="177"/>
      <c r="E501" s="153"/>
      <c r="F501" s="178"/>
      <c r="G501" s="179"/>
      <c r="H501" s="180"/>
      <c r="I501" s="180"/>
      <c r="J501" s="181"/>
      <c r="K501" s="182"/>
      <c r="L501" s="177"/>
      <c r="M501" s="183"/>
      <c r="N501" s="184"/>
      <c r="O501" s="185"/>
      <c r="P501" s="184"/>
      <c r="Q501" s="184"/>
      <c r="R501" s="184"/>
      <c r="S501" s="184"/>
      <c r="T501" s="184"/>
    </row>
    <row r="502" spans="1:20" ht="12.75">
      <c r="A502" s="176"/>
      <c r="B502" s="153"/>
      <c r="C502" s="153"/>
      <c r="D502" s="177"/>
      <c r="E502" s="153"/>
      <c r="F502" s="178"/>
      <c r="G502" s="179"/>
      <c r="H502" s="180"/>
      <c r="I502" s="180"/>
      <c r="J502" s="181"/>
      <c r="K502" s="182"/>
      <c r="L502" s="177"/>
      <c r="M502" s="183"/>
      <c r="N502" s="184"/>
      <c r="O502" s="185"/>
      <c r="P502" s="184"/>
      <c r="Q502" s="184"/>
      <c r="R502" s="184"/>
      <c r="S502" s="184"/>
      <c r="T502" s="184"/>
    </row>
    <row r="503" spans="1:20" ht="12.75">
      <c r="A503" s="176"/>
      <c r="B503" s="153"/>
      <c r="C503" s="153"/>
      <c r="D503" s="177"/>
      <c r="E503" s="153"/>
      <c r="F503" s="178"/>
      <c r="G503" s="179"/>
      <c r="H503" s="180"/>
      <c r="I503" s="180"/>
      <c r="J503" s="181"/>
      <c r="K503" s="182"/>
      <c r="L503" s="177"/>
      <c r="M503" s="183"/>
      <c r="N503" s="184"/>
      <c r="O503" s="185"/>
      <c r="P503" s="184"/>
      <c r="Q503" s="184"/>
      <c r="R503" s="184"/>
      <c r="S503" s="184"/>
      <c r="T503" s="184"/>
    </row>
    <row r="504" spans="1:20" ht="12.75">
      <c r="A504" s="176"/>
      <c r="B504" s="153"/>
      <c r="C504" s="153"/>
      <c r="D504" s="177"/>
      <c r="E504" s="153"/>
      <c r="F504" s="178"/>
      <c r="G504" s="179"/>
      <c r="H504" s="180"/>
      <c r="I504" s="180"/>
      <c r="J504" s="181"/>
      <c r="K504" s="182"/>
      <c r="L504" s="177"/>
      <c r="M504" s="183"/>
      <c r="N504" s="184"/>
      <c r="O504" s="185"/>
      <c r="P504" s="184"/>
      <c r="Q504" s="184"/>
      <c r="R504" s="184"/>
      <c r="S504" s="184"/>
      <c r="T504" s="184"/>
    </row>
    <row r="505" spans="1:20" ht="12.75">
      <c r="A505" s="176"/>
      <c r="B505" s="153"/>
      <c r="C505" s="153"/>
      <c r="D505" s="177"/>
      <c r="E505" s="153"/>
      <c r="F505" s="178"/>
      <c r="G505" s="179"/>
      <c r="H505" s="180"/>
      <c r="I505" s="180"/>
      <c r="J505" s="181"/>
      <c r="K505" s="182"/>
      <c r="L505" s="177"/>
      <c r="M505" s="183"/>
      <c r="N505" s="184"/>
      <c r="O505" s="185"/>
      <c r="P505" s="184"/>
      <c r="Q505" s="184"/>
      <c r="R505" s="184"/>
      <c r="S505" s="184"/>
      <c r="T505" s="184"/>
    </row>
    <row r="506" spans="1:20" ht="12.75">
      <c r="A506" s="176"/>
      <c r="B506" s="153"/>
      <c r="C506" s="153"/>
      <c r="D506" s="177"/>
      <c r="E506" s="153"/>
      <c r="F506" s="178"/>
      <c r="G506" s="179"/>
      <c r="H506" s="180"/>
      <c r="I506" s="180"/>
      <c r="J506" s="181"/>
      <c r="K506" s="182"/>
      <c r="L506" s="177"/>
      <c r="M506" s="183"/>
      <c r="N506" s="184"/>
      <c r="O506" s="185"/>
      <c r="P506" s="184"/>
      <c r="Q506" s="184"/>
      <c r="R506" s="184"/>
      <c r="S506" s="184"/>
      <c r="T506" s="184"/>
    </row>
    <row r="507" spans="1:20" ht="12.75">
      <c r="A507" s="176"/>
      <c r="B507" s="153"/>
      <c r="C507" s="153"/>
      <c r="D507" s="177"/>
      <c r="E507" s="153"/>
      <c r="F507" s="178"/>
      <c r="G507" s="179"/>
      <c r="H507" s="180"/>
      <c r="I507" s="180"/>
      <c r="J507" s="181"/>
      <c r="K507" s="182"/>
      <c r="L507" s="177"/>
      <c r="M507" s="183"/>
      <c r="N507" s="184"/>
      <c r="O507" s="185"/>
      <c r="P507" s="184"/>
      <c r="Q507" s="184"/>
      <c r="R507" s="184"/>
      <c r="S507" s="184"/>
      <c r="T507" s="184"/>
    </row>
    <row r="508" spans="1:20" ht="12.75">
      <c r="A508" s="176"/>
      <c r="B508" s="153"/>
      <c r="C508" s="153"/>
      <c r="D508" s="177"/>
      <c r="E508" s="153"/>
      <c r="F508" s="178"/>
      <c r="G508" s="179"/>
      <c r="H508" s="180"/>
      <c r="I508" s="180"/>
      <c r="J508" s="181"/>
      <c r="K508" s="182"/>
      <c r="L508" s="177"/>
      <c r="M508" s="183"/>
      <c r="N508" s="184"/>
      <c r="O508" s="185"/>
      <c r="P508" s="184"/>
      <c r="Q508" s="184"/>
      <c r="R508" s="184"/>
      <c r="S508" s="184"/>
      <c r="T508" s="184"/>
    </row>
    <row r="509" spans="1:20" ht="12.75">
      <c r="A509" s="176"/>
      <c r="B509" s="153"/>
      <c r="C509" s="153"/>
      <c r="D509" s="177"/>
      <c r="E509" s="153"/>
      <c r="F509" s="178"/>
      <c r="G509" s="179"/>
      <c r="H509" s="180"/>
      <c r="I509" s="180"/>
      <c r="J509" s="181"/>
      <c r="K509" s="182"/>
      <c r="L509" s="177"/>
      <c r="M509" s="183"/>
      <c r="N509" s="184"/>
      <c r="O509" s="185"/>
      <c r="P509" s="184"/>
      <c r="Q509" s="184"/>
      <c r="R509" s="184"/>
      <c r="S509" s="184"/>
      <c r="T509" s="184"/>
    </row>
    <row r="510" spans="1:20" ht="12.75">
      <c r="A510" s="176"/>
      <c r="B510" s="153"/>
      <c r="C510" s="153"/>
      <c r="D510" s="177"/>
      <c r="E510" s="153"/>
      <c r="F510" s="178"/>
      <c r="G510" s="179"/>
      <c r="H510" s="180"/>
      <c r="I510" s="180"/>
      <c r="J510" s="181"/>
      <c r="K510" s="182"/>
      <c r="L510" s="177"/>
      <c r="M510" s="183"/>
      <c r="N510" s="184"/>
      <c r="O510" s="185"/>
      <c r="P510" s="184"/>
      <c r="Q510" s="184"/>
      <c r="R510" s="184"/>
      <c r="S510" s="184"/>
      <c r="T510" s="184"/>
    </row>
    <row r="511" spans="1:20" ht="12.75">
      <c r="A511" s="176"/>
      <c r="B511" s="153"/>
      <c r="C511" s="153"/>
      <c r="D511" s="177"/>
      <c r="E511" s="153"/>
      <c r="F511" s="178"/>
      <c r="G511" s="179"/>
      <c r="H511" s="180"/>
      <c r="I511" s="180"/>
      <c r="J511" s="181"/>
      <c r="K511" s="182"/>
      <c r="L511" s="177"/>
      <c r="M511" s="183"/>
      <c r="N511" s="184"/>
      <c r="O511" s="185"/>
      <c r="P511" s="184"/>
      <c r="Q511" s="184"/>
      <c r="R511" s="184"/>
      <c r="S511" s="184"/>
      <c r="T511" s="184"/>
    </row>
    <row r="512" spans="1:20" ht="12.75">
      <c r="A512" s="176"/>
      <c r="B512" s="153"/>
      <c r="C512" s="153"/>
      <c r="D512" s="177"/>
      <c r="E512" s="153"/>
      <c r="F512" s="178"/>
      <c r="G512" s="179"/>
      <c r="H512" s="180"/>
      <c r="I512" s="180"/>
      <c r="J512" s="181"/>
      <c r="K512" s="182"/>
      <c r="L512" s="177"/>
      <c r="M512" s="183"/>
      <c r="N512" s="184"/>
      <c r="O512" s="185"/>
      <c r="P512" s="184"/>
      <c r="Q512" s="184"/>
      <c r="R512" s="184"/>
      <c r="S512" s="184"/>
      <c r="T512" s="184"/>
    </row>
    <row r="513" spans="1:20" ht="12.75">
      <c r="A513" s="176"/>
      <c r="B513" s="153"/>
      <c r="C513" s="153"/>
      <c r="D513" s="177"/>
      <c r="E513" s="153"/>
      <c r="F513" s="178"/>
      <c r="G513" s="179"/>
      <c r="H513" s="180"/>
      <c r="I513" s="180"/>
      <c r="J513" s="181"/>
      <c r="K513" s="182"/>
      <c r="L513" s="177"/>
      <c r="M513" s="183"/>
      <c r="N513" s="184"/>
      <c r="O513" s="185"/>
      <c r="P513" s="184"/>
      <c r="Q513" s="184"/>
      <c r="R513" s="184"/>
      <c r="S513" s="184"/>
      <c r="T513" s="184"/>
    </row>
    <row r="514" spans="1:20" ht="12.75">
      <c r="A514" s="176"/>
      <c r="B514" s="153"/>
      <c r="C514" s="153"/>
      <c r="D514" s="177"/>
      <c r="E514" s="153"/>
      <c r="F514" s="178"/>
      <c r="G514" s="179"/>
      <c r="H514" s="180"/>
      <c r="I514" s="180"/>
      <c r="J514" s="181"/>
      <c r="K514" s="182"/>
      <c r="L514" s="177"/>
      <c r="M514" s="183"/>
      <c r="N514" s="184"/>
      <c r="O514" s="185"/>
      <c r="P514" s="184"/>
      <c r="Q514" s="184"/>
      <c r="R514" s="184"/>
      <c r="S514" s="184"/>
      <c r="T514" s="184"/>
    </row>
    <row r="515" spans="1:20" ht="12.75">
      <c r="A515" s="176"/>
      <c r="B515" s="153"/>
      <c r="C515" s="153"/>
      <c r="D515" s="177"/>
      <c r="E515" s="153"/>
      <c r="F515" s="178"/>
      <c r="G515" s="179"/>
      <c r="H515" s="180"/>
      <c r="I515" s="180"/>
      <c r="J515" s="181"/>
      <c r="K515" s="182"/>
      <c r="L515" s="177"/>
      <c r="M515" s="183"/>
      <c r="N515" s="184"/>
      <c r="O515" s="185"/>
      <c r="P515" s="184"/>
      <c r="Q515" s="184"/>
      <c r="R515" s="184"/>
      <c r="S515" s="184"/>
      <c r="T515" s="184"/>
    </row>
    <row r="516" spans="1:20" ht="12.75">
      <c r="A516" s="176"/>
      <c r="B516" s="153"/>
      <c r="C516" s="153"/>
      <c r="D516" s="177"/>
      <c r="E516" s="153"/>
      <c r="F516" s="178"/>
      <c r="G516" s="179"/>
      <c r="H516" s="180"/>
      <c r="I516" s="180"/>
      <c r="J516" s="181"/>
      <c r="K516" s="182"/>
      <c r="L516" s="177"/>
      <c r="M516" s="183"/>
      <c r="N516" s="184"/>
      <c r="O516" s="185"/>
      <c r="P516" s="184"/>
      <c r="Q516" s="184"/>
      <c r="R516" s="184"/>
      <c r="S516" s="184"/>
      <c r="T516" s="184"/>
    </row>
  </sheetData>
  <autoFilter ref="A1:T23" xr:uid="{00000000-0009-0000-0000-00000B000000}"/>
  <conditionalFormatting sqref="A2:A23">
    <cfRule type="notContainsBlanks" dxfId="149" priority="1">
      <formula>LEN(TRIM(A2))&gt;0</formula>
    </cfRule>
  </conditionalFormatting>
  <dataValidations count="1">
    <dataValidation type="list" allowBlank="1" sqref="A2:A23" xr:uid="{00000000-0002-0000-0B00-000000000000}">
      <formula1>"คุณลักษณะฯ,คำแนะนำฯ"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outlinePr summaryBelow="0" summaryRight="0"/>
  </sheetPr>
  <dimension ref="A1:D23"/>
  <sheetViews>
    <sheetView workbookViewId="0"/>
  </sheetViews>
  <sheetFormatPr defaultColWidth="14.42578125" defaultRowHeight="15.75" customHeight="1"/>
  <cols>
    <col min="1" max="1" width="41" customWidth="1"/>
    <col min="3" max="3" width="18.5703125" customWidth="1"/>
    <col min="4" max="4" width="44.5703125" customWidth="1"/>
  </cols>
  <sheetData>
    <row r="1" spans="1:4" ht="15.75" customHeight="1">
      <c r="A1" s="514" t="s">
        <v>1480</v>
      </c>
      <c r="B1" s="506"/>
      <c r="C1" s="506"/>
      <c r="D1" s="510"/>
    </row>
    <row r="2" spans="1:4" ht="15.75" customHeight="1">
      <c r="A2" s="186"/>
      <c r="B2" s="515" t="str">
        <f>LEFT(B7, SEARCH("",B7,2))</f>
        <v>99</v>
      </c>
      <c r="C2" s="516"/>
      <c r="D2" s="187"/>
    </row>
    <row r="3" spans="1:4" ht="12.75">
      <c r="A3" s="518" t="str">
        <f>VLOOKUP(B2,'เลขSpec.2 ตัวแรก'!$A$2:$B$100,2,FALSE)</f>
        <v>หมวด 99 เบ็ดเตล็ด</v>
      </c>
      <c r="B3" s="506"/>
      <c r="C3" s="506"/>
      <c r="D3" s="506"/>
    </row>
    <row r="4" spans="1:4" ht="12.75">
      <c r="A4" s="511"/>
      <c r="B4" s="499"/>
      <c r="C4" s="499"/>
      <c r="D4" s="499"/>
    </row>
    <row r="5" spans="1:4" ht="15.75" customHeight="1">
      <c r="A5" s="514" t="s">
        <v>1481</v>
      </c>
      <c r="B5" s="506"/>
      <c r="C5" s="506"/>
      <c r="D5" s="510"/>
    </row>
    <row r="6" spans="1:4" ht="15.75" customHeight="1">
      <c r="A6" s="188"/>
      <c r="B6" s="517" t="s">
        <v>1482</v>
      </c>
      <c r="C6" s="499"/>
      <c r="D6" s="189"/>
    </row>
    <row r="7" spans="1:4" ht="12.75">
      <c r="A7" s="190"/>
      <c r="B7" s="505" t="s">
        <v>1483</v>
      </c>
      <c r="C7" s="506"/>
      <c r="D7" s="191" t="s">
        <v>1484</v>
      </c>
    </row>
    <row r="8" spans="1:4" ht="15.75" customHeight="1">
      <c r="A8" s="192"/>
      <c r="B8" s="507"/>
      <c r="C8" s="508"/>
      <c r="D8" s="191" t="s">
        <v>1485</v>
      </c>
    </row>
    <row r="9" spans="1:4" ht="12.75">
      <c r="A9" s="509" t="e">
        <f>VLOOKUP(B7,#REF!,2,FALSE)</f>
        <v>#REF!</v>
      </c>
      <c r="B9" s="506"/>
      <c r="C9" s="506"/>
      <c r="D9" s="510"/>
    </row>
    <row r="10" spans="1:4" ht="12.75">
      <c r="A10" s="511"/>
      <c r="B10" s="499"/>
      <c r="C10" s="499"/>
      <c r="D10" s="512"/>
    </row>
    <row r="11" spans="1:4" ht="12.75">
      <c r="A11" s="511"/>
      <c r="B11" s="499"/>
      <c r="C11" s="499"/>
      <c r="D11" s="512"/>
    </row>
    <row r="12" spans="1:4" ht="12.75">
      <c r="A12" s="511"/>
      <c r="B12" s="499"/>
      <c r="C12" s="499"/>
      <c r="D12" s="512"/>
    </row>
    <row r="13" spans="1:4" ht="12.75">
      <c r="A13" s="511"/>
      <c r="B13" s="499"/>
      <c r="C13" s="499"/>
      <c r="D13" s="512"/>
    </row>
    <row r="14" spans="1:4" ht="12.75">
      <c r="A14" s="511"/>
      <c r="B14" s="499"/>
      <c r="C14" s="499"/>
      <c r="D14" s="512"/>
    </row>
    <row r="15" spans="1:4" ht="12.75">
      <c r="A15" s="511"/>
      <c r="B15" s="499"/>
      <c r="C15" s="499"/>
      <c r="D15" s="512"/>
    </row>
    <row r="16" spans="1:4" ht="12.75">
      <c r="A16" s="511"/>
      <c r="B16" s="499"/>
      <c r="C16" s="499"/>
      <c r="D16" s="512"/>
    </row>
    <row r="17" spans="1:4" ht="12.75">
      <c r="A17" s="511"/>
      <c r="B17" s="499"/>
      <c r="C17" s="499"/>
      <c r="D17" s="512"/>
    </row>
    <row r="18" spans="1:4" ht="12.75">
      <c r="A18" s="511"/>
      <c r="B18" s="499"/>
      <c r="C18" s="499"/>
      <c r="D18" s="512"/>
    </row>
    <row r="19" spans="1:4" ht="12.75">
      <c r="A19" s="511"/>
      <c r="B19" s="499"/>
      <c r="C19" s="499"/>
      <c r="D19" s="512"/>
    </row>
    <row r="20" spans="1:4" ht="12.75">
      <c r="A20" s="511"/>
      <c r="B20" s="499"/>
      <c r="C20" s="499"/>
      <c r="D20" s="512"/>
    </row>
    <row r="21" spans="1:4" ht="12.75">
      <c r="A21" s="511"/>
      <c r="B21" s="499"/>
      <c r="C21" s="499"/>
      <c r="D21" s="512"/>
    </row>
    <row r="22" spans="1:4" ht="12.75">
      <c r="A22" s="507"/>
      <c r="B22" s="508"/>
      <c r="C22" s="508"/>
      <c r="D22" s="513"/>
    </row>
    <row r="23" spans="1:4">
      <c r="A23" s="193"/>
      <c r="B23" s="193"/>
      <c r="C23" s="193"/>
      <c r="D23" s="193"/>
    </row>
  </sheetData>
  <mergeCells count="7">
    <mergeCell ref="B7:C8"/>
    <mergeCell ref="A9:D22"/>
    <mergeCell ref="A1:D1"/>
    <mergeCell ref="B2:C2"/>
    <mergeCell ref="B6:C6"/>
    <mergeCell ref="A3:D4"/>
    <mergeCell ref="A5:D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00FF"/>
    <outlinePr summaryBelow="0" summaryRight="0"/>
  </sheetPr>
  <dimension ref="A1:B10"/>
  <sheetViews>
    <sheetView workbookViewId="0"/>
  </sheetViews>
  <sheetFormatPr defaultColWidth="14.42578125" defaultRowHeight="15.75" customHeight="1"/>
  <cols>
    <col min="1" max="1" width="6.42578125" customWidth="1"/>
    <col min="2" max="2" width="119.5703125" customWidth="1"/>
  </cols>
  <sheetData>
    <row r="1" spans="1:2" ht="26.25" customHeight="1">
      <c r="A1" s="519" t="s">
        <v>1486</v>
      </c>
      <c r="B1" s="499"/>
    </row>
    <row r="2" spans="1:2" ht="12.75">
      <c r="A2" s="520"/>
      <c r="B2" s="499"/>
    </row>
    <row r="3" spans="1:2" ht="18">
      <c r="A3" s="194"/>
      <c r="B3" s="195"/>
    </row>
    <row r="4" spans="1:2" ht="54">
      <c r="A4" s="194">
        <v>1</v>
      </c>
      <c r="B4" s="196" t="s">
        <v>1487</v>
      </c>
    </row>
    <row r="5" spans="1:2" ht="14.25" customHeight="1">
      <c r="A5" s="194">
        <v>2</v>
      </c>
      <c r="B5" s="197" t="s">
        <v>1488</v>
      </c>
    </row>
    <row r="6" spans="1:2" ht="54">
      <c r="A6" s="194">
        <v>3</v>
      </c>
      <c r="B6" s="197" t="s">
        <v>1489</v>
      </c>
    </row>
    <row r="7" spans="1:2" ht="36">
      <c r="A7" s="194">
        <v>4</v>
      </c>
      <c r="B7" s="197" t="s">
        <v>1490</v>
      </c>
    </row>
    <row r="8" spans="1:2" ht="18">
      <c r="A8" s="195"/>
      <c r="B8" s="198"/>
    </row>
    <row r="9" spans="1:2" ht="18">
      <c r="A9" s="195"/>
      <c r="B9" s="198"/>
    </row>
    <row r="10" spans="1:2" ht="18">
      <c r="A10" s="195"/>
      <c r="B10" s="198"/>
    </row>
  </sheetData>
  <mergeCells count="2">
    <mergeCell ref="A1:B1"/>
    <mergeCell ref="A2:B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00FF"/>
    <outlinePr summaryBelow="0" summaryRight="0"/>
  </sheetPr>
  <dimension ref="A1:C25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23.28515625" customWidth="1"/>
    <col min="2" max="2" width="21.85546875" customWidth="1"/>
    <col min="3" max="3" width="56.5703125" customWidth="1"/>
  </cols>
  <sheetData>
    <row r="1" spans="1:3" ht="24.75" customHeight="1">
      <c r="A1" s="522" t="s">
        <v>1491</v>
      </c>
      <c r="B1" s="499"/>
      <c r="C1" s="499"/>
    </row>
    <row r="2" spans="1:3" ht="21.75" customHeight="1">
      <c r="A2" s="199" t="s">
        <v>1492</v>
      </c>
      <c r="B2" s="199" t="s">
        <v>1493</v>
      </c>
      <c r="C2" s="199" t="s">
        <v>1494</v>
      </c>
    </row>
    <row r="3" spans="1:3" ht="28.5">
      <c r="A3" s="521" t="s">
        <v>1495</v>
      </c>
      <c r="B3" s="200" t="s">
        <v>1496</v>
      </c>
      <c r="C3" s="201" t="s">
        <v>1497</v>
      </c>
    </row>
    <row r="4" spans="1:3" ht="28.5">
      <c r="A4" s="499"/>
      <c r="B4" s="202" t="s">
        <v>1498</v>
      </c>
      <c r="C4" s="201" t="s">
        <v>1499</v>
      </c>
    </row>
    <row r="5" spans="1:3" ht="28.5">
      <c r="A5" s="499"/>
      <c r="B5" s="203" t="s">
        <v>1500</v>
      </c>
      <c r="C5" s="201" t="s">
        <v>1501</v>
      </c>
    </row>
    <row r="6" spans="1:3" ht="28.5">
      <c r="A6" s="499"/>
      <c r="B6" s="202" t="s">
        <v>1502</v>
      </c>
      <c r="C6" s="201" t="s">
        <v>1503</v>
      </c>
    </row>
    <row r="7" spans="1:3" ht="28.5">
      <c r="A7" s="499"/>
      <c r="B7" s="202" t="s">
        <v>1504</v>
      </c>
      <c r="C7" s="201" t="s">
        <v>1505</v>
      </c>
    </row>
    <row r="8" spans="1:3" ht="57">
      <c r="A8" s="499"/>
      <c r="B8" s="202" t="s">
        <v>1506</v>
      </c>
      <c r="C8" s="201" t="s">
        <v>1507</v>
      </c>
    </row>
    <row r="9" spans="1:3" ht="42.75">
      <c r="A9" s="499"/>
      <c r="B9" s="202" t="s">
        <v>1508</v>
      </c>
      <c r="C9" s="201" t="s">
        <v>1509</v>
      </c>
    </row>
    <row r="10" spans="1:3" ht="28.5">
      <c r="A10" s="499"/>
      <c r="B10" s="202" t="s">
        <v>1510</v>
      </c>
      <c r="C10" s="201" t="s">
        <v>1511</v>
      </c>
    </row>
    <row r="11" spans="1:3" ht="15">
      <c r="A11" s="204"/>
      <c r="B11" s="205"/>
      <c r="C11" s="206"/>
    </row>
    <row r="12" spans="1:3" ht="28.5">
      <c r="A12" s="523" t="s">
        <v>1512</v>
      </c>
      <c r="B12" s="208" t="s">
        <v>1513</v>
      </c>
      <c r="C12" s="209" t="s">
        <v>1514</v>
      </c>
    </row>
    <row r="13" spans="1:3" ht="57">
      <c r="A13" s="499"/>
      <c r="B13" s="208" t="s">
        <v>1515</v>
      </c>
      <c r="C13" s="209" t="s">
        <v>1516</v>
      </c>
    </row>
    <row r="14" spans="1:3" ht="15">
      <c r="A14" s="204"/>
      <c r="B14" s="205"/>
      <c r="C14" s="206"/>
    </row>
    <row r="15" spans="1:3" ht="28.5">
      <c r="A15" s="521" t="s">
        <v>1517</v>
      </c>
      <c r="B15" s="200" t="s">
        <v>1518</v>
      </c>
      <c r="C15" s="201" t="s">
        <v>1519</v>
      </c>
    </row>
    <row r="16" spans="1:3" ht="14.25">
      <c r="A16" s="499"/>
      <c r="B16" s="200" t="s">
        <v>1520</v>
      </c>
      <c r="C16" s="201" t="s">
        <v>1521</v>
      </c>
    </row>
    <row r="17" spans="1:3" ht="14.25">
      <c r="A17" s="499"/>
      <c r="B17" s="200" t="s">
        <v>1522</v>
      </c>
      <c r="C17" s="201" t="s">
        <v>1523</v>
      </c>
    </row>
    <row r="18" spans="1:3" ht="15">
      <c r="A18" s="204"/>
      <c r="B18" s="205"/>
      <c r="C18" s="206"/>
    </row>
    <row r="19" spans="1:3" ht="14.25">
      <c r="A19" s="523" t="s">
        <v>1524</v>
      </c>
      <c r="B19" s="208" t="s">
        <v>1525</v>
      </c>
      <c r="C19" s="209" t="s">
        <v>1526</v>
      </c>
    </row>
    <row r="20" spans="1:3" ht="28.5">
      <c r="A20" s="499"/>
      <c r="B20" s="208"/>
      <c r="C20" s="209" t="s">
        <v>1527</v>
      </c>
    </row>
    <row r="21" spans="1:3" ht="15">
      <c r="A21" s="204"/>
      <c r="B21" s="205"/>
      <c r="C21" s="206"/>
    </row>
    <row r="22" spans="1:3" ht="28.5">
      <c r="A22" s="521" t="s">
        <v>1528</v>
      </c>
      <c r="B22" s="200"/>
      <c r="C22" s="201" t="s">
        <v>1529</v>
      </c>
    </row>
    <row r="23" spans="1:3" ht="42.75">
      <c r="A23" s="499"/>
      <c r="B23" s="200"/>
      <c r="C23" s="201" t="s">
        <v>1530</v>
      </c>
    </row>
    <row r="24" spans="1:3" ht="15">
      <c r="A24" s="204"/>
      <c r="B24" s="205"/>
      <c r="C24" s="206"/>
    </row>
    <row r="25" spans="1:3" ht="57">
      <c r="A25" s="207" t="s">
        <v>1531</v>
      </c>
      <c r="B25" s="208"/>
      <c r="C25" s="209" t="s">
        <v>1532</v>
      </c>
    </row>
  </sheetData>
  <mergeCells count="6">
    <mergeCell ref="A22:A23"/>
    <mergeCell ref="A1:C1"/>
    <mergeCell ref="A3:A10"/>
    <mergeCell ref="A12:A13"/>
    <mergeCell ref="A15:A17"/>
    <mergeCell ref="A19:A2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A1002"/>
  <sheetViews>
    <sheetView workbookViewId="0"/>
  </sheetViews>
  <sheetFormatPr defaultColWidth="14.42578125" defaultRowHeight="15.75" customHeight="1"/>
  <cols>
    <col min="1" max="1" width="79.28515625" customWidth="1"/>
  </cols>
  <sheetData>
    <row r="1" spans="1:1" ht="15.75" customHeight="1">
      <c r="A1" s="210" t="s">
        <v>1533</v>
      </c>
    </row>
    <row r="2" spans="1:1" ht="15.75" customHeight="1">
      <c r="A2" s="210"/>
    </row>
    <row r="3" spans="1:1" ht="15.75" customHeight="1">
      <c r="A3" s="210" t="s">
        <v>1534</v>
      </c>
    </row>
    <row r="4" spans="1:1" ht="15.75" customHeight="1">
      <c r="A4" s="210" t="s">
        <v>1535</v>
      </c>
    </row>
    <row r="5" spans="1:1" ht="15.75" customHeight="1">
      <c r="A5" s="210" t="s">
        <v>1536</v>
      </c>
    </row>
    <row r="6" spans="1:1" ht="15.75" customHeight="1">
      <c r="A6" s="210" t="s">
        <v>1537</v>
      </c>
    </row>
    <row r="7" spans="1:1" ht="15.75" customHeight="1">
      <c r="A7" s="210" t="s">
        <v>1538</v>
      </c>
    </row>
    <row r="8" spans="1:1" ht="15.75" customHeight="1">
      <c r="A8" s="210" t="s">
        <v>1539</v>
      </c>
    </row>
    <row r="9" spans="1:1" ht="15.75" customHeight="1">
      <c r="A9" s="210" t="s">
        <v>1540</v>
      </c>
    </row>
    <row r="10" spans="1:1" ht="15.75" customHeight="1">
      <c r="A10" s="210" t="s">
        <v>1541</v>
      </c>
    </row>
    <row r="11" spans="1:1" ht="15.75" customHeight="1">
      <c r="A11" s="210" t="s">
        <v>1542</v>
      </c>
    </row>
    <row r="12" spans="1:1" ht="15.75" customHeight="1">
      <c r="A12" s="210" t="s">
        <v>1543</v>
      </c>
    </row>
    <row r="13" spans="1:1" ht="15.75" customHeight="1">
      <c r="A13" s="210"/>
    </row>
    <row r="14" spans="1:1" ht="15.75" customHeight="1">
      <c r="A14" s="210"/>
    </row>
    <row r="15" spans="1:1" ht="15.75" customHeight="1">
      <c r="A15" s="210"/>
    </row>
    <row r="16" spans="1:1" ht="15.75" customHeight="1">
      <c r="A16" s="210"/>
    </row>
    <row r="17" spans="1:1" ht="15.75" customHeight="1">
      <c r="A17" s="210"/>
    </row>
    <row r="18" spans="1:1" ht="15.75" customHeight="1">
      <c r="A18" s="210"/>
    </row>
    <row r="19" spans="1:1" ht="15.75" customHeight="1">
      <c r="A19" s="210"/>
    </row>
    <row r="20" spans="1:1" ht="15.75" customHeight="1">
      <c r="A20" s="210"/>
    </row>
    <row r="21" spans="1:1" ht="15.75" customHeight="1">
      <c r="A21" s="210"/>
    </row>
    <row r="22" spans="1:1" ht="15.75" customHeight="1">
      <c r="A22" s="210"/>
    </row>
    <row r="23" spans="1:1" ht="15.75" customHeight="1">
      <c r="A23" s="210"/>
    </row>
    <row r="24" spans="1:1" ht="15.75" customHeight="1">
      <c r="A24" s="210"/>
    </row>
    <row r="25" spans="1:1" ht="15.75" customHeight="1">
      <c r="A25" s="210"/>
    </row>
    <row r="26" spans="1:1" ht="15.75" customHeight="1">
      <c r="A26" s="210"/>
    </row>
    <row r="27" spans="1:1" ht="15.75" customHeight="1">
      <c r="A27" s="210"/>
    </row>
    <row r="28" spans="1:1" ht="15.75" customHeight="1">
      <c r="A28" s="210"/>
    </row>
    <row r="29" spans="1:1" ht="15.75" customHeight="1">
      <c r="A29" s="210"/>
    </row>
    <row r="30" spans="1:1" ht="12.75">
      <c r="A30" s="210"/>
    </row>
    <row r="31" spans="1:1" ht="12.75">
      <c r="A31" s="210"/>
    </row>
    <row r="32" spans="1:1" ht="12.75">
      <c r="A32" s="210"/>
    </row>
    <row r="33" spans="1:1" ht="12.75">
      <c r="A33" s="210"/>
    </row>
    <row r="34" spans="1:1" ht="12.75">
      <c r="A34" s="210"/>
    </row>
    <row r="35" spans="1:1" ht="12.75">
      <c r="A35" s="210"/>
    </row>
    <row r="36" spans="1:1" ht="12.75">
      <c r="A36" s="210"/>
    </row>
    <row r="37" spans="1:1" ht="12.75">
      <c r="A37" s="210"/>
    </row>
    <row r="38" spans="1:1" ht="12.75">
      <c r="A38" s="210"/>
    </row>
    <row r="39" spans="1:1" ht="12.75">
      <c r="A39" s="210"/>
    </row>
    <row r="40" spans="1:1" ht="12.75">
      <c r="A40" s="210"/>
    </row>
    <row r="41" spans="1:1" ht="12.75">
      <c r="A41" s="210"/>
    </row>
    <row r="42" spans="1:1" ht="12.75">
      <c r="A42" s="210"/>
    </row>
    <row r="43" spans="1:1" ht="12.75">
      <c r="A43" s="210"/>
    </row>
    <row r="44" spans="1:1" ht="12.75">
      <c r="A44" s="210"/>
    </row>
    <row r="45" spans="1:1" ht="12.75">
      <c r="A45" s="210"/>
    </row>
    <row r="46" spans="1:1" ht="12.75">
      <c r="A46" s="210"/>
    </row>
    <row r="47" spans="1:1" ht="12.75">
      <c r="A47" s="210"/>
    </row>
    <row r="48" spans="1:1" ht="12.75">
      <c r="A48" s="210"/>
    </row>
    <row r="49" spans="1:1" ht="12.75">
      <c r="A49" s="210"/>
    </row>
    <row r="50" spans="1:1" ht="12.75">
      <c r="A50" s="210"/>
    </row>
    <row r="51" spans="1:1" ht="12.75">
      <c r="A51" s="210"/>
    </row>
    <row r="52" spans="1:1" ht="12.75">
      <c r="A52" s="210"/>
    </row>
    <row r="53" spans="1:1" ht="12.75">
      <c r="A53" s="210"/>
    </row>
    <row r="54" spans="1:1" ht="12.75">
      <c r="A54" s="210"/>
    </row>
    <row r="55" spans="1:1" ht="12.75">
      <c r="A55" s="210"/>
    </row>
    <row r="56" spans="1:1" ht="12.75">
      <c r="A56" s="210"/>
    </row>
    <row r="57" spans="1:1" ht="12.75">
      <c r="A57" s="210"/>
    </row>
    <row r="58" spans="1:1" ht="12.75">
      <c r="A58" s="210"/>
    </row>
    <row r="59" spans="1:1" ht="12.75">
      <c r="A59" s="210"/>
    </row>
    <row r="60" spans="1:1" ht="12.75">
      <c r="A60" s="210"/>
    </row>
    <row r="61" spans="1:1" ht="12.75">
      <c r="A61" s="210"/>
    </row>
    <row r="62" spans="1:1" ht="12.75">
      <c r="A62" s="210"/>
    </row>
    <row r="63" spans="1:1" ht="12.75">
      <c r="A63" s="210"/>
    </row>
    <row r="64" spans="1:1" ht="12.75">
      <c r="A64" s="210"/>
    </row>
    <row r="65" spans="1:1" ht="12.75">
      <c r="A65" s="210"/>
    </row>
    <row r="66" spans="1:1" ht="12.75">
      <c r="A66" s="210"/>
    </row>
    <row r="67" spans="1:1" ht="12.75">
      <c r="A67" s="210"/>
    </row>
    <row r="68" spans="1:1" ht="12.75">
      <c r="A68" s="210"/>
    </row>
    <row r="69" spans="1:1" ht="12.75">
      <c r="A69" s="210"/>
    </row>
    <row r="70" spans="1:1" ht="12.75">
      <c r="A70" s="210"/>
    </row>
    <row r="71" spans="1:1" ht="12.75">
      <c r="A71" s="210"/>
    </row>
    <row r="72" spans="1:1" ht="12.75">
      <c r="A72" s="210"/>
    </row>
    <row r="73" spans="1:1" ht="12.75">
      <c r="A73" s="210"/>
    </row>
    <row r="74" spans="1:1" ht="12.75">
      <c r="A74" s="210"/>
    </row>
    <row r="75" spans="1:1" ht="12.75">
      <c r="A75" s="210"/>
    </row>
    <row r="76" spans="1:1" ht="12.75">
      <c r="A76" s="210"/>
    </row>
    <row r="77" spans="1:1" ht="12.75">
      <c r="A77" s="210"/>
    </row>
    <row r="78" spans="1:1" ht="12.75">
      <c r="A78" s="210"/>
    </row>
    <row r="79" spans="1:1" ht="12.75">
      <c r="A79" s="210"/>
    </row>
    <row r="80" spans="1:1" ht="12.75">
      <c r="A80" s="210"/>
    </row>
    <row r="81" spans="1:1" ht="12.75">
      <c r="A81" s="210"/>
    </row>
    <row r="82" spans="1:1" ht="12.75">
      <c r="A82" s="210"/>
    </row>
    <row r="83" spans="1:1" ht="12.75">
      <c r="A83" s="210"/>
    </row>
    <row r="84" spans="1:1" ht="12.75">
      <c r="A84" s="210"/>
    </row>
    <row r="85" spans="1:1" ht="12.75">
      <c r="A85" s="210"/>
    </row>
    <row r="86" spans="1:1" ht="12.75">
      <c r="A86" s="210"/>
    </row>
    <row r="87" spans="1:1" ht="12.75">
      <c r="A87" s="210"/>
    </row>
    <row r="88" spans="1:1" ht="12.75">
      <c r="A88" s="210"/>
    </row>
    <row r="89" spans="1:1" ht="12.75">
      <c r="A89" s="210"/>
    </row>
    <row r="90" spans="1:1" ht="12.75">
      <c r="A90" s="210"/>
    </row>
    <row r="91" spans="1:1" ht="12.75">
      <c r="A91" s="210"/>
    </row>
    <row r="92" spans="1:1" ht="12.75">
      <c r="A92" s="210"/>
    </row>
    <row r="93" spans="1:1" ht="12.75">
      <c r="A93" s="210"/>
    </row>
    <row r="94" spans="1:1" ht="12.75">
      <c r="A94" s="210"/>
    </row>
    <row r="95" spans="1:1" ht="12.75">
      <c r="A95" s="210"/>
    </row>
    <row r="96" spans="1:1" ht="12.75">
      <c r="A96" s="210"/>
    </row>
    <row r="97" spans="1:1" ht="12.75">
      <c r="A97" s="210"/>
    </row>
    <row r="98" spans="1:1" ht="12.75">
      <c r="A98" s="210"/>
    </row>
    <row r="99" spans="1:1" ht="12.75">
      <c r="A99" s="210"/>
    </row>
    <row r="100" spans="1:1" ht="12.75">
      <c r="A100" s="210"/>
    </row>
    <row r="101" spans="1:1" ht="12.75">
      <c r="A101" s="210"/>
    </row>
    <row r="102" spans="1:1" ht="12.75">
      <c r="A102" s="210"/>
    </row>
    <row r="103" spans="1:1" ht="12.75">
      <c r="A103" s="210"/>
    </row>
    <row r="104" spans="1:1" ht="12.75">
      <c r="A104" s="210"/>
    </row>
    <row r="105" spans="1:1" ht="12.75">
      <c r="A105" s="210"/>
    </row>
    <row r="106" spans="1:1" ht="12.75">
      <c r="A106" s="210"/>
    </row>
    <row r="107" spans="1:1" ht="12.75">
      <c r="A107" s="210"/>
    </row>
    <row r="108" spans="1:1" ht="12.75">
      <c r="A108" s="210"/>
    </row>
    <row r="109" spans="1:1" ht="12.75">
      <c r="A109" s="210"/>
    </row>
    <row r="110" spans="1:1" ht="12.75">
      <c r="A110" s="210"/>
    </row>
    <row r="111" spans="1:1" ht="12.75">
      <c r="A111" s="210"/>
    </row>
    <row r="112" spans="1:1" ht="12.75">
      <c r="A112" s="210"/>
    </row>
    <row r="113" spans="1:1" ht="12.75">
      <c r="A113" s="210"/>
    </row>
    <row r="114" spans="1:1" ht="12.75">
      <c r="A114" s="210"/>
    </row>
    <row r="115" spans="1:1" ht="12.75">
      <c r="A115" s="210"/>
    </row>
    <row r="116" spans="1:1" ht="12.75">
      <c r="A116" s="210"/>
    </row>
    <row r="117" spans="1:1" ht="12.75">
      <c r="A117" s="210"/>
    </row>
    <row r="118" spans="1:1" ht="12.75">
      <c r="A118" s="210"/>
    </row>
    <row r="119" spans="1:1" ht="12.75">
      <c r="A119" s="210"/>
    </row>
    <row r="120" spans="1:1" ht="12.75">
      <c r="A120" s="210"/>
    </row>
    <row r="121" spans="1:1" ht="12.75">
      <c r="A121" s="210"/>
    </row>
    <row r="122" spans="1:1" ht="12.75">
      <c r="A122" s="210"/>
    </row>
    <row r="123" spans="1:1" ht="12.75">
      <c r="A123" s="210"/>
    </row>
    <row r="124" spans="1:1" ht="12.75">
      <c r="A124" s="210"/>
    </row>
    <row r="125" spans="1:1" ht="12.75">
      <c r="A125" s="210"/>
    </row>
    <row r="126" spans="1:1" ht="12.75">
      <c r="A126" s="210"/>
    </row>
    <row r="127" spans="1:1" ht="12.75">
      <c r="A127" s="210"/>
    </row>
    <row r="128" spans="1:1" ht="12.75">
      <c r="A128" s="210"/>
    </row>
    <row r="129" spans="1:1" ht="12.75">
      <c r="A129" s="210"/>
    </row>
    <row r="130" spans="1:1" ht="12.75">
      <c r="A130" s="210"/>
    </row>
    <row r="131" spans="1:1" ht="12.75">
      <c r="A131" s="210"/>
    </row>
    <row r="132" spans="1:1" ht="12.75">
      <c r="A132" s="210"/>
    </row>
    <row r="133" spans="1:1" ht="12.75">
      <c r="A133" s="210"/>
    </row>
    <row r="134" spans="1:1" ht="12.75">
      <c r="A134" s="210"/>
    </row>
    <row r="135" spans="1:1" ht="12.75">
      <c r="A135" s="210"/>
    </row>
    <row r="136" spans="1:1" ht="12.75">
      <c r="A136" s="210"/>
    </row>
    <row r="137" spans="1:1" ht="12.75">
      <c r="A137" s="210"/>
    </row>
    <row r="138" spans="1:1" ht="12.75">
      <c r="A138" s="210"/>
    </row>
    <row r="139" spans="1:1" ht="12.75">
      <c r="A139" s="210"/>
    </row>
    <row r="140" spans="1:1" ht="12.75">
      <c r="A140" s="210"/>
    </row>
    <row r="141" spans="1:1" ht="12.75">
      <c r="A141" s="210"/>
    </row>
    <row r="142" spans="1:1" ht="12.75">
      <c r="A142" s="210"/>
    </row>
    <row r="143" spans="1:1" ht="12.75">
      <c r="A143" s="210"/>
    </row>
    <row r="144" spans="1:1" ht="12.75">
      <c r="A144" s="210"/>
    </row>
    <row r="145" spans="1:1" ht="12.75">
      <c r="A145" s="210"/>
    </row>
    <row r="146" spans="1:1" ht="12.75">
      <c r="A146" s="210"/>
    </row>
    <row r="147" spans="1:1" ht="12.75">
      <c r="A147" s="210"/>
    </row>
    <row r="148" spans="1:1" ht="12.75">
      <c r="A148" s="210"/>
    </row>
    <row r="149" spans="1:1" ht="12.75">
      <c r="A149" s="210"/>
    </row>
    <row r="150" spans="1:1" ht="12.75">
      <c r="A150" s="210"/>
    </row>
    <row r="151" spans="1:1" ht="12.75">
      <c r="A151" s="210"/>
    </row>
    <row r="152" spans="1:1" ht="12.75">
      <c r="A152" s="210"/>
    </row>
    <row r="153" spans="1:1" ht="12.75">
      <c r="A153" s="210"/>
    </row>
    <row r="154" spans="1:1" ht="12.75">
      <c r="A154" s="210"/>
    </row>
    <row r="155" spans="1:1" ht="12.75">
      <c r="A155" s="210"/>
    </row>
    <row r="156" spans="1:1" ht="12.75">
      <c r="A156" s="210"/>
    </row>
    <row r="157" spans="1:1" ht="12.75">
      <c r="A157" s="210"/>
    </row>
    <row r="158" spans="1:1" ht="12.75">
      <c r="A158" s="210"/>
    </row>
    <row r="159" spans="1:1" ht="12.75">
      <c r="A159" s="210"/>
    </row>
    <row r="160" spans="1:1" ht="12.75">
      <c r="A160" s="210"/>
    </row>
    <row r="161" spans="1:1" ht="12.75">
      <c r="A161" s="210"/>
    </row>
    <row r="162" spans="1:1" ht="12.75">
      <c r="A162" s="210"/>
    </row>
    <row r="163" spans="1:1" ht="12.75">
      <c r="A163" s="210"/>
    </row>
    <row r="164" spans="1:1" ht="12.75">
      <c r="A164" s="210"/>
    </row>
    <row r="165" spans="1:1" ht="12.75">
      <c r="A165" s="210"/>
    </row>
    <row r="166" spans="1:1" ht="12.75">
      <c r="A166" s="210"/>
    </row>
    <row r="167" spans="1:1" ht="12.75">
      <c r="A167" s="210"/>
    </row>
    <row r="168" spans="1:1" ht="12.75">
      <c r="A168" s="210"/>
    </row>
    <row r="169" spans="1:1" ht="12.75">
      <c r="A169" s="210"/>
    </row>
    <row r="170" spans="1:1" ht="12.75">
      <c r="A170" s="210"/>
    </row>
    <row r="171" spans="1:1" ht="12.75">
      <c r="A171" s="210"/>
    </row>
    <row r="172" spans="1:1" ht="12.75">
      <c r="A172" s="210"/>
    </row>
    <row r="173" spans="1:1" ht="12.75">
      <c r="A173" s="210"/>
    </row>
    <row r="174" spans="1:1" ht="12.75">
      <c r="A174" s="210"/>
    </row>
    <row r="175" spans="1:1" ht="12.75">
      <c r="A175" s="210"/>
    </row>
    <row r="176" spans="1:1" ht="12.75">
      <c r="A176" s="210"/>
    </row>
    <row r="177" spans="1:1" ht="12.75">
      <c r="A177" s="210"/>
    </row>
    <row r="178" spans="1:1" ht="12.75">
      <c r="A178" s="210"/>
    </row>
    <row r="179" spans="1:1" ht="12.75">
      <c r="A179" s="210"/>
    </row>
    <row r="180" spans="1:1" ht="12.75">
      <c r="A180" s="210"/>
    </row>
    <row r="181" spans="1:1" ht="12.75">
      <c r="A181" s="210"/>
    </row>
    <row r="182" spans="1:1" ht="12.75">
      <c r="A182" s="210"/>
    </row>
    <row r="183" spans="1:1" ht="12.75">
      <c r="A183" s="210"/>
    </row>
    <row r="184" spans="1:1" ht="12.75">
      <c r="A184" s="210"/>
    </row>
    <row r="185" spans="1:1" ht="12.75">
      <c r="A185" s="210"/>
    </row>
    <row r="186" spans="1:1" ht="12.75">
      <c r="A186" s="210"/>
    </row>
    <row r="187" spans="1:1" ht="12.75">
      <c r="A187" s="210"/>
    </row>
    <row r="188" spans="1:1" ht="12.75">
      <c r="A188" s="210"/>
    </row>
    <row r="189" spans="1:1" ht="12.75">
      <c r="A189" s="210"/>
    </row>
    <row r="190" spans="1:1" ht="12.75">
      <c r="A190" s="210"/>
    </row>
    <row r="191" spans="1:1" ht="12.75">
      <c r="A191" s="210"/>
    </row>
    <row r="192" spans="1:1" ht="12.75">
      <c r="A192" s="210"/>
    </row>
    <row r="193" spans="1:1" ht="12.75">
      <c r="A193" s="210"/>
    </row>
    <row r="194" spans="1:1" ht="12.75">
      <c r="A194" s="210"/>
    </row>
    <row r="195" spans="1:1" ht="12.75">
      <c r="A195" s="210"/>
    </row>
    <row r="196" spans="1:1" ht="12.75">
      <c r="A196" s="210"/>
    </row>
    <row r="197" spans="1:1" ht="12.75">
      <c r="A197" s="210"/>
    </row>
    <row r="198" spans="1:1" ht="12.75">
      <c r="A198" s="210"/>
    </row>
    <row r="199" spans="1:1" ht="12.75">
      <c r="A199" s="210"/>
    </row>
    <row r="200" spans="1:1" ht="12.75">
      <c r="A200" s="210"/>
    </row>
    <row r="201" spans="1:1" ht="12.75">
      <c r="A201" s="210"/>
    </row>
    <row r="202" spans="1:1" ht="12.75">
      <c r="A202" s="210"/>
    </row>
    <row r="203" spans="1:1" ht="12.75">
      <c r="A203" s="210"/>
    </row>
    <row r="204" spans="1:1" ht="12.75">
      <c r="A204" s="210"/>
    </row>
    <row r="205" spans="1:1" ht="12.75">
      <c r="A205" s="210"/>
    </row>
    <row r="206" spans="1:1" ht="12.75">
      <c r="A206" s="210"/>
    </row>
    <row r="207" spans="1:1" ht="12.75">
      <c r="A207" s="210"/>
    </row>
    <row r="208" spans="1:1" ht="12.75">
      <c r="A208" s="210"/>
    </row>
    <row r="209" spans="1:1" ht="12.75">
      <c r="A209" s="210"/>
    </row>
    <row r="210" spans="1:1" ht="12.75">
      <c r="A210" s="210"/>
    </row>
    <row r="211" spans="1:1" ht="12.75">
      <c r="A211" s="210"/>
    </row>
    <row r="212" spans="1:1" ht="12.75">
      <c r="A212" s="210"/>
    </row>
    <row r="213" spans="1:1" ht="12.75">
      <c r="A213" s="210"/>
    </row>
    <row r="214" spans="1:1" ht="12.75">
      <c r="A214" s="210"/>
    </row>
    <row r="215" spans="1:1" ht="12.75">
      <c r="A215" s="210"/>
    </row>
    <row r="216" spans="1:1" ht="12.75">
      <c r="A216" s="210"/>
    </row>
    <row r="217" spans="1:1" ht="12.75">
      <c r="A217" s="210"/>
    </row>
    <row r="218" spans="1:1" ht="12.75">
      <c r="A218" s="210"/>
    </row>
    <row r="219" spans="1:1" ht="12.75">
      <c r="A219" s="210"/>
    </row>
    <row r="220" spans="1:1" ht="12.75">
      <c r="A220" s="210"/>
    </row>
    <row r="221" spans="1:1" ht="12.75">
      <c r="A221" s="210"/>
    </row>
    <row r="222" spans="1:1" ht="12.75">
      <c r="A222" s="210"/>
    </row>
    <row r="223" spans="1:1" ht="12.75">
      <c r="A223" s="210"/>
    </row>
    <row r="224" spans="1:1" ht="12.75">
      <c r="A224" s="210"/>
    </row>
    <row r="225" spans="1:1" ht="12.75">
      <c r="A225" s="210"/>
    </row>
    <row r="226" spans="1:1" ht="12.75">
      <c r="A226" s="210"/>
    </row>
    <row r="227" spans="1:1" ht="12.75">
      <c r="A227" s="210"/>
    </row>
    <row r="228" spans="1:1" ht="12.75">
      <c r="A228" s="210"/>
    </row>
    <row r="229" spans="1:1" ht="12.75">
      <c r="A229" s="210"/>
    </row>
    <row r="230" spans="1:1" ht="12.75">
      <c r="A230" s="210"/>
    </row>
    <row r="231" spans="1:1" ht="12.75">
      <c r="A231" s="210"/>
    </row>
    <row r="232" spans="1:1" ht="12.75">
      <c r="A232" s="210"/>
    </row>
    <row r="233" spans="1:1" ht="12.75">
      <c r="A233" s="210"/>
    </row>
    <row r="234" spans="1:1" ht="12.75">
      <c r="A234" s="210"/>
    </row>
    <row r="235" spans="1:1" ht="12.75">
      <c r="A235" s="210"/>
    </row>
    <row r="236" spans="1:1" ht="12.75">
      <c r="A236" s="210"/>
    </row>
    <row r="237" spans="1:1" ht="12.75">
      <c r="A237" s="210"/>
    </row>
    <row r="238" spans="1:1" ht="12.75">
      <c r="A238" s="210"/>
    </row>
    <row r="239" spans="1:1" ht="12.75">
      <c r="A239" s="210"/>
    </row>
    <row r="240" spans="1:1" ht="12.75">
      <c r="A240" s="210"/>
    </row>
    <row r="241" spans="1:1" ht="12.75">
      <c r="A241" s="210"/>
    </row>
    <row r="242" spans="1:1" ht="12.75">
      <c r="A242" s="210"/>
    </row>
    <row r="243" spans="1:1" ht="12.75">
      <c r="A243" s="210"/>
    </row>
    <row r="244" spans="1:1" ht="12.75">
      <c r="A244" s="210"/>
    </row>
    <row r="245" spans="1:1" ht="12.75">
      <c r="A245" s="210"/>
    </row>
    <row r="246" spans="1:1" ht="12.75">
      <c r="A246" s="210"/>
    </row>
    <row r="247" spans="1:1" ht="12.75">
      <c r="A247" s="210"/>
    </row>
    <row r="248" spans="1:1" ht="12.75">
      <c r="A248" s="210"/>
    </row>
    <row r="249" spans="1:1" ht="12.75">
      <c r="A249" s="210"/>
    </row>
    <row r="250" spans="1:1" ht="12.75">
      <c r="A250" s="210"/>
    </row>
    <row r="251" spans="1:1" ht="12.75">
      <c r="A251" s="210"/>
    </row>
    <row r="252" spans="1:1" ht="12.75">
      <c r="A252" s="210"/>
    </row>
    <row r="253" spans="1:1" ht="12.75">
      <c r="A253" s="210"/>
    </row>
    <row r="254" spans="1:1" ht="12.75">
      <c r="A254" s="210"/>
    </row>
    <row r="255" spans="1:1" ht="12.75">
      <c r="A255" s="210"/>
    </row>
    <row r="256" spans="1:1" ht="12.75">
      <c r="A256" s="210"/>
    </row>
    <row r="257" spans="1:1" ht="12.75">
      <c r="A257" s="210"/>
    </row>
    <row r="258" spans="1:1" ht="12.75">
      <c r="A258" s="210"/>
    </row>
    <row r="259" spans="1:1" ht="12.75">
      <c r="A259" s="210"/>
    </row>
    <row r="260" spans="1:1" ht="12.75">
      <c r="A260" s="210"/>
    </row>
    <row r="261" spans="1:1" ht="12.75">
      <c r="A261" s="210"/>
    </row>
    <row r="262" spans="1:1" ht="12.75">
      <c r="A262" s="210"/>
    </row>
    <row r="263" spans="1:1" ht="12.75">
      <c r="A263" s="210"/>
    </row>
    <row r="264" spans="1:1" ht="12.75">
      <c r="A264" s="210"/>
    </row>
    <row r="265" spans="1:1" ht="12.75">
      <c r="A265" s="210"/>
    </row>
    <row r="266" spans="1:1" ht="12.75">
      <c r="A266" s="210"/>
    </row>
    <row r="267" spans="1:1" ht="12.75">
      <c r="A267" s="210"/>
    </row>
    <row r="268" spans="1:1" ht="12.75">
      <c r="A268" s="210"/>
    </row>
    <row r="269" spans="1:1" ht="12.75">
      <c r="A269" s="210"/>
    </row>
    <row r="270" spans="1:1" ht="12.75">
      <c r="A270" s="210"/>
    </row>
    <row r="271" spans="1:1" ht="12.75">
      <c r="A271" s="210"/>
    </row>
    <row r="272" spans="1:1" ht="12.75">
      <c r="A272" s="210"/>
    </row>
    <row r="273" spans="1:1" ht="12.75">
      <c r="A273" s="210"/>
    </row>
    <row r="274" spans="1:1" ht="12.75">
      <c r="A274" s="210"/>
    </row>
    <row r="275" spans="1:1" ht="12.75">
      <c r="A275" s="210"/>
    </row>
    <row r="276" spans="1:1" ht="12.75">
      <c r="A276" s="210"/>
    </row>
    <row r="277" spans="1:1" ht="12.75">
      <c r="A277" s="210"/>
    </row>
    <row r="278" spans="1:1" ht="12.75">
      <c r="A278" s="210"/>
    </row>
    <row r="279" spans="1:1" ht="12.75">
      <c r="A279" s="210"/>
    </row>
    <row r="280" spans="1:1" ht="12.75">
      <c r="A280" s="210"/>
    </row>
    <row r="281" spans="1:1" ht="12.75">
      <c r="A281" s="210"/>
    </row>
    <row r="282" spans="1:1" ht="12.75">
      <c r="A282" s="210"/>
    </row>
    <row r="283" spans="1:1" ht="12.75">
      <c r="A283" s="210"/>
    </row>
    <row r="284" spans="1:1" ht="12.75">
      <c r="A284" s="210"/>
    </row>
    <row r="285" spans="1:1" ht="12.75">
      <c r="A285" s="210"/>
    </row>
    <row r="286" spans="1:1" ht="12.75">
      <c r="A286" s="210"/>
    </row>
    <row r="287" spans="1:1" ht="12.75">
      <c r="A287" s="210"/>
    </row>
    <row r="288" spans="1:1" ht="12.75">
      <c r="A288" s="210"/>
    </row>
    <row r="289" spans="1:1" ht="12.75">
      <c r="A289" s="210"/>
    </row>
    <row r="290" spans="1:1" ht="12.75">
      <c r="A290" s="210"/>
    </row>
    <row r="291" spans="1:1" ht="12.75">
      <c r="A291" s="210"/>
    </row>
    <row r="292" spans="1:1" ht="12.75">
      <c r="A292" s="210"/>
    </row>
    <row r="293" spans="1:1" ht="12.75">
      <c r="A293" s="210"/>
    </row>
    <row r="294" spans="1:1" ht="12.75">
      <c r="A294" s="210"/>
    </row>
    <row r="295" spans="1:1" ht="12.75">
      <c r="A295" s="210"/>
    </row>
    <row r="296" spans="1:1" ht="12.75">
      <c r="A296" s="210"/>
    </row>
    <row r="297" spans="1:1" ht="12.75">
      <c r="A297" s="210"/>
    </row>
    <row r="298" spans="1:1" ht="12.75">
      <c r="A298" s="210"/>
    </row>
    <row r="299" spans="1:1" ht="12.75">
      <c r="A299" s="210"/>
    </row>
    <row r="300" spans="1:1" ht="12.75">
      <c r="A300" s="210"/>
    </row>
    <row r="301" spans="1:1" ht="12.75">
      <c r="A301" s="210"/>
    </row>
    <row r="302" spans="1:1" ht="12.75">
      <c r="A302" s="210"/>
    </row>
    <row r="303" spans="1:1" ht="12.75">
      <c r="A303" s="210"/>
    </row>
    <row r="304" spans="1:1" ht="12.75">
      <c r="A304" s="210"/>
    </row>
    <row r="305" spans="1:1" ht="12.75">
      <c r="A305" s="210"/>
    </row>
    <row r="306" spans="1:1" ht="12.75">
      <c r="A306" s="210"/>
    </row>
    <row r="307" spans="1:1" ht="12.75">
      <c r="A307" s="210"/>
    </row>
    <row r="308" spans="1:1" ht="12.75">
      <c r="A308" s="210"/>
    </row>
    <row r="309" spans="1:1" ht="12.75">
      <c r="A309" s="210"/>
    </row>
    <row r="310" spans="1:1" ht="12.75">
      <c r="A310" s="210"/>
    </row>
    <row r="311" spans="1:1" ht="12.75">
      <c r="A311" s="210"/>
    </row>
    <row r="312" spans="1:1" ht="12.75">
      <c r="A312" s="210"/>
    </row>
    <row r="313" spans="1:1" ht="12.75">
      <c r="A313" s="210"/>
    </row>
    <row r="314" spans="1:1" ht="12.75">
      <c r="A314" s="210"/>
    </row>
    <row r="315" spans="1:1" ht="12.75">
      <c r="A315" s="210"/>
    </row>
    <row r="316" spans="1:1" ht="12.75">
      <c r="A316" s="210"/>
    </row>
    <row r="317" spans="1:1" ht="12.75">
      <c r="A317" s="210"/>
    </row>
    <row r="318" spans="1:1" ht="12.75">
      <c r="A318" s="210"/>
    </row>
    <row r="319" spans="1:1" ht="12.75">
      <c r="A319" s="210"/>
    </row>
    <row r="320" spans="1:1" ht="12.75">
      <c r="A320" s="210"/>
    </row>
    <row r="321" spans="1:1" ht="12.75">
      <c r="A321" s="210"/>
    </row>
    <row r="322" spans="1:1" ht="12.75">
      <c r="A322" s="210"/>
    </row>
    <row r="323" spans="1:1" ht="12.75">
      <c r="A323" s="210"/>
    </row>
    <row r="324" spans="1:1" ht="12.75">
      <c r="A324" s="210"/>
    </row>
    <row r="325" spans="1:1" ht="12.75">
      <c r="A325" s="210"/>
    </row>
    <row r="326" spans="1:1" ht="12.75">
      <c r="A326" s="210"/>
    </row>
    <row r="327" spans="1:1" ht="12.75">
      <c r="A327" s="210"/>
    </row>
    <row r="328" spans="1:1" ht="12.75">
      <c r="A328" s="210"/>
    </row>
    <row r="329" spans="1:1" ht="12.75">
      <c r="A329" s="210"/>
    </row>
    <row r="330" spans="1:1" ht="12.75">
      <c r="A330" s="210"/>
    </row>
    <row r="331" spans="1:1" ht="12.75">
      <c r="A331" s="210"/>
    </row>
    <row r="332" spans="1:1" ht="12.75">
      <c r="A332" s="210"/>
    </row>
    <row r="333" spans="1:1" ht="12.75">
      <c r="A333" s="210"/>
    </row>
    <row r="334" spans="1:1" ht="12.75">
      <c r="A334" s="210"/>
    </row>
    <row r="335" spans="1:1" ht="12.75">
      <c r="A335" s="210"/>
    </row>
    <row r="336" spans="1:1" ht="12.75">
      <c r="A336" s="210"/>
    </row>
    <row r="337" spans="1:1" ht="12.75">
      <c r="A337" s="210"/>
    </row>
    <row r="338" spans="1:1" ht="12.75">
      <c r="A338" s="210"/>
    </row>
    <row r="339" spans="1:1" ht="12.75">
      <c r="A339" s="210"/>
    </row>
    <row r="340" spans="1:1" ht="12.75">
      <c r="A340" s="210"/>
    </row>
    <row r="341" spans="1:1" ht="12.75">
      <c r="A341" s="210"/>
    </row>
    <row r="342" spans="1:1" ht="12.75">
      <c r="A342" s="210"/>
    </row>
    <row r="343" spans="1:1" ht="12.75">
      <c r="A343" s="210"/>
    </row>
    <row r="344" spans="1:1" ht="12.75">
      <c r="A344" s="210"/>
    </row>
    <row r="345" spans="1:1" ht="12.75">
      <c r="A345" s="210"/>
    </row>
    <row r="346" spans="1:1" ht="12.75">
      <c r="A346" s="210"/>
    </row>
    <row r="347" spans="1:1" ht="12.75">
      <c r="A347" s="210"/>
    </row>
    <row r="348" spans="1:1" ht="12.75">
      <c r="A348" s="210"/>
    </row>
    <row r="349" spans="1:1" ht="12.75">
      <c r="A349" s="210"/>
    </row>
    <row r="350" spans="1:1" ht="12.75">
      <c r="A350" s="210"/>
    </row>
    <row r="351" spans="1:1" ht="12.75">
      <c r="A351" s="210"/>
    </row>
    <row r="352" spans="1:1" ht="12.75">
      <c r="A352" s="210"/>
    </row>
    <row r="353" spans="1:1" ht="12.75">
      <c r="A353" s="210"/>
    </row>
    <row r="354" spans="1:1" ht="12.75">
      <c r="A354" s="210"/>
    </row>
    <row r="355" spans="1:1" ht="12.75">
      <c r="A355" s="210"/>
    </row>
    <row r="356" spans="1:1" ht="12.75">
      <c r="A356" s="210"/>
    </row>
    <row r="357" spans="1:1" ht="12.75">
      <c r="A357" s="210"/>
    </row>
    <row r="358" spans="1:1" ht="12.75">
      <c r="A358" s="210"/>
    </row>
    <row r="359" spans="1:1" ht="12.75">
      <c r="A359" s="210"/>
    </row>
    <row r="360" spans="1:1" ht="12.75">
      <c r="A360" s="210"/>
    </row>
    <row r="361" spans="1:1" ht="12.75">
      <c r="A361" s="210"/>
    </row>
    <row r="362" spans="1:1" ht="12.75">
      <c r="A362" s="210"/>
    </row>
    <row r="363" spans="1:1" ht="12.75">
      <c r="A363" s="210"/>
    </row>
    <row r="364" spans="1:1" ht="12.75">
      <c r="A364" s="210"/>
    </row>
    <row r="365" spans="1:1" ht="12.75">
      <c r="A365" s="210"/>
    </row>
    <row r="366" spans="1:1" ht="12.75">
      <c r="A366" s="210"/>
    </row>
    <row r="367" spans="1:1" ht="12.75">
      <c r="A367" s="210"/>
    </row>
    <row r="368" spans="1:1" ht="12.75">
      <c r="A368" s="210"/>
    </row>
    <row r="369" spans="1:1" ht="12.75">
      <c r="A369" s="210"/>
    </row>
    <row r="370" spans="1:1" ht="12.75">
      <c r="A370" s="210"/>
    </row>
    <row r="371" spans="1:1" ht="12.75">
      <c r="A371" s="210"/>
    </row>
    <row r="372" spans="1:1" ht="12.75">
      <c r="A372" s="210"/>
    </row>
    <row r="373" spans="1:1" ht="12.75">
      <c r="A373" s="210"/>
    </row>
    <row r="374" spans="1:1" ht="12.75">
      <c r="A374" s="210"/>
    </row>
    <row r="375" spans="1:1" ht="12.75">
      <c r="A375" s="210"/>
    </row>
    <row r="376" spans="1:1" ht="12.75">
      <c r="A376" s="210"/>
    </row>
    <row r="377" spans="1:1" ht="12.75">
      <c r="A377" s="210"/>
    </row>
    <row r="378" spans="1:1" ht="12.75">
      <c r="A378" s="210"/>
    </row>
    <row r="379" spans="1:1" ht="12.75">
      <c r="A379" s="210"/>
    </row>
    <row r="380" spans="1:1" ht="12.75">
      <c r="A380" s="210"/>
    </row>
    <row r="381" spans="1:1" ht="12.75">
      <c r="A381" s="210"/>
    </row>
    <row r="382" spans="1:1" ht="12.75">
      <c r="A382" s="210"/>
    </row>
    <row r="383" spans="1:1" ht="12.75">
      <c r="A383" s="210"/>
    </row>
    <row r="384" spans="1:1" ht="12.75">
      <c r="A384" s="210"/>
    </row>
    <row r="385" spans="1:1" ht="12.75">
      <c r="A385" s="210"/>
    </row>
    <row r="386" spans="1:1" ht="12.75">
      <c r="A386" s="210"/>
    </row>
    <row r="387" spans="1:1" ht="12.75">
      <c r="A387" s="210"/>
    </row>
    <row r="388" spans="1:1" ht="12.75">
      <c r="A388" s="210"/>
    </row>
    <row r="389" spans="1:1" ht="12.75">
      <c r="A389" s="210"/>
    </row>
    <row r="390" spans="1:1" ht="12.75">
      <c r="A390" s="210"/>
    </row>
    <row r="391" spans="1:1" ht="12.75">
      <c r="A391" s="210"/>
    </row>
    <row r="392" spans="1:1" ht="12.75">
      <c r="A392" s="210"/>
    </row>
    <row r="393" spans="1:1" ht="12.75">
      <c r="A393" s="210"/>
    </row>
    <row r="394" spans="1:1" ht="12.75">
      <c r="A394" s="210"/>
    </row>
    <row r="395" spans="1:1" ht="12.75">
      <c r="A395" s="210"/>
    </row>
    <row r="396" spans="1:1" ht="12.75">
      <c r="A396" s="210"/>
    </row>
    <row r="397" spans="1:1" ht="12.75">
      <c r="A397" s="210"/>
    </row>
    <row r="398" spans="1:1" ht="12.75">
      <c r="A398" s="210"/>
    </row>
    <row r="399" spans="1:1" ht="12.75">
      <c r="A399" s="210"/>
    </row>
    <row r="400" spans="1:1" ht="12.75">
      <c r="A400" s="210"/>
    </row>
    <row r="401" spans="1:1" ht="12.75">
      <c r="A401" s="210"/>
    </row>
    <row r="402" spans="1:1" ht="12.75">
      <c r="A402" s="210"/>
    </row>
    <row r="403" spans="1:1" ht="12.75">
      <c r="A403" s="210"/>
    </row>
    <row r="404" spans="1:1" ht="12.75">
      <c r="A404" s="210"/>
    </row>
    <row r="405" spans="1:1" ht="12.75">
      <c r="A405" s="210"/>
    </row>
    <row r="406" spans="1:1" ht="12.75">
      <c r="A406" s="210"/>
    </row>
    <row r="407" spans="1:1" ht="12.75">
      <c r="A407" s="210"/>
    </row>
    <row r="408" spans="1:1" ht="12.75">
      <c r="A408" s="210"/>
    </row>
    <row r="409" spans="1:1" ht="12.75">
      <c r="A409" s="210"/>
    </row>
    <row r="410" spans="1:1" ht="12.75">
      <c r="A410" s="210"/>
    </row>
    <row r="411" spans="1:1" ht="12.75">
      <c r="A411" s="210"/>
    </row>
    <row r="412" spans="1:1" ht="12.75">
      <c r="A412" s="210"/>
    </row>
    <row r="413" spans="1:1" ht="12.75">
      <c r="A413" s="210"/>
    </row>
    <row r="414" spans="1:1" ht="12.75">
      <c r="A414" s="210"/>
    </row>
    <row r="415" spans="1:1" ht="12.75">
      <c r="A415" s="210"/>
    </row>
    <row r="416" spans="1:1" ht="12.75">
      <c r="A416" s="210"/>
    </row>
    <row r="417" spans="1:1" ht="12.75">
      <c r="A417" s="210"/>
    </row>
    <row r="418" spans="1:1" ht="12.75">
      <c r="A418" s="210"/>
    </row>
    <row r="419" spans="1:1" ht="12.75">
      <c r="A419" s="210"/>
    </row>
    <row r="420" spans="1:1" ht="12.75">
      <c r="A420" s="210"/>
    </row>
    <row r="421" spans="1:1" ht="12.75">
      <c r="A421" s="210"/>
    </row>
    <row r="422" spans="1:1" ht="12.75">
      <c r="A422" s="210"/>
    </row>
    <row r="423" spans="1:1" ht="12.75">
      <c r="A423" s="210"/>
    </row>
    <row r="424" spans="1:1" ht="12.75">
      <c r="A424" s="210"/>
    </row>
    <row r="425" spans="1:1" ht="12.75">
      <c r="A425" s="210"/>
    </row>
    <row r="426" spans="1:1" ht="12.75">
      <c r="A426" s="210"/>
    </row>
    <row r="427" spans="1:1" ht="12.75">
      <c r="A427" s="210"/>
    </row>
    <row r="428" spans="1:1" ht="12.75">
      <c r="A428" s="210"/>
    </row>
    <row r="429" spans="1:1" ht="12.75">
      <c r="A429" s="210"/>
    </row>
    <row r="430" spans="1:1" ht="12.75">
      <c r="A430" s="210"/>
    </row>
    <row r="431" spans="1:1" ht="12.75">
      <c r="A431" s="210"/>
    </row>
    <row r="432" spans="1:1" ht="12.75">
      <c r="A432" s="210"/>
    </row>
    <row r="433" spans="1:1" ht="12.75">
      <c r="A433" s="210"/>
    </row>
    <row r="434" spans="1:1" ht="12.75">
      <c r="A434" s="210"/>
    </row>
    <row r="435" spans="1:1" ht="12.75">
      <c r="A435" s="210"/>
    </row>
    <row r="436" spans="1:1" ht="12.75">
      <c r="A436" s="210"/>
    </row>
    <row r="437" spans="1:1" ht="12.75">
      <c r="A437" s="210"/>
    </row>
    <row r="438" spans="1:1" ht="12.75">
      <c r="A438" s="210"/>
    </row>
    <row r="439" spans="1:1" ht="12.75">
      <c r="A439" s="210"/>
    </row>
    <row r="440" spans="1:1" ht="12.75">
      <c r="A440" s="210"/>
    </row>
    <row r="441" spans="1:1" ht="12.75">
      <c r="A441" s="210"/>
    </row>
    <row r="442" spans="1:1" ht="12.75">
      <c r="A442" s="210"/>
    </row>
    <row r="443" spans="1:1" ht="12.75">
      <c r="A443" s="210"/>
    </row>
    <row r="444" spans="1:1" ht="12.75">
      <c r="A444" s="210"/>
    </row>
    <row r="445" spans="1:1" ht="12.75">
      <c r="A445" s="210"/>
    </row>
    <row r="446" spans="1:1" ht="12.75">
      <c r="A446" s="210"/>
    </row>
    <row r="447" spans="1:1" ht="12.75">
      <c r="A447" s="210"/>
    </row>
    <row r="448" spans="1:1" ht="12.75">
      <c r="A448" s="210"/>
    </row>
    <row r="449" spans="1:1" ht="12.75">
      <c r="A449" s="210"/>
    </row>
    <row r="450" spans="1:1" ht="12.75">
      <c r="A450" s="210"/>
    </row>
    <row r="451" spans="1:1" ht="12.75">
      <c r="A451" s="210"/>
    </row>
    <row r="452" spans="1:1" ht="12.75">
      <c r="A452" s="210"/>
    </row>
    <row r="453" spans="1:1" ht="12.75">
      <c r="A453" s="210"/>
    </row>
    <row r="454" spans="1:1" ht="12.75">
      <c r="A454" s="210"/>
    </row>
    <row r="455" spans="1:1" ht="12.75">
      <c r="A455" s="210"/>
    </row>
    <row r="456" spans="1:1" ht="12.75">
      <c r="A456" s="210"/>
    </row>
    <row r="457" spans="1:1" ht="12.75">
      <c r="A457" s="210"/>
    </row>
    <row r="458" spans="1:1" ht="12.75">
      <c r="A458" s="210"/>
    </row>
    <row r="459" spans="1:1" ht="12.75">
      <c r="A459" s="210"/>
    </row>
    <row r="460" spans="1:1" ht="12.75">
      <c r="A460" s="210"/>
    </row>
    <row r="461" spans="1:1" ht="12.75">
      <c r="A461" s="210"/>
    </row>
    <row r="462" spans="1:1" ht="12.75">
      <c r="A462" s="210"/>
    </row>
    <row r="463" spans="1:1" ht="12.75">
      <c r="A463" s="210"/>
    </row>
    <row r="464" spans="1:1" ht="12.75">
      <c r="A464" s="210"/>
    </row>
    <row r="465" spans="1:1" ht="12.75">
      <c r="A465" s="210"/>
    </row>
    <row r="466" spans="1:1" ht="12.75">
      <c r="A466" s="210"/>
    </row>
    <row r="467" spans="1:1" ht="12.75">
      <c r="A467" s="210"/>
    </row>
    <row r="468" spans="1:1" ht="12.75">
      <c r="A468" s="210"/>
    </row>
    <row r="469" spans="1:1" ht="12.75">
      <c r="A469" s="210"/>
    </row>
    <row r="470" spans="1:1" ht="12.75">
      <c r="A470" s="210"/>
    </row>
    <row r="471" spans="1:1" ht="12.75">
      <c r="A471" s="210"/>
    </row>
    <row r="472" spans="1:1" ht="12.75">
      <c r="A472" s="210"/>
    </row>
    <row r="473" spans="1:1" ht="12.75">
      <c r="A473" s="210"/>
    </row>
    <row r="474" spans="1:1" ht="12.75">
      <c r="A474" s="210"/>
    </row>
    <row r="475" spans="1:1" ht="12.75">
      <c r="A475" s="210"/>
    </row>
    <row r="476" spans="1:1" ht="12.75">
      <c r="A476" s="210"/>
    </row>
    <row r="477" spans="1:1" ht="12.75">
      <c r="A477" s="210"/>
    </row>
    <row r="478" spans="1:1" ht="12.75">
      <c r="A478" s="210"/>
    </row>
    <row r="479" spans="1:1" ht="12.75">
      <c r="A479" s="210"/>
    </row>
    <row r="480" spans="1:1" ht="12.75">
      <c r="A480" s="210"/>
    </row>
    <row r="481" spans="1:1" ht="12.75">
      <c r="A481" s="210"/>
    </row>
    <row r="482" spans="1:1" ht="12.75">
      <c r="A482" s="210"/>
    </row>
    <row r="483" spans="1:1" ht="12.75">
      <c r="A483" s="210"/>
    </row>
    <row r="484" spans="1:1" ht="12.75">
      <c r="A484" s="210"/>
    </row>
    <row r="485" spans="1:1" ht="12.75">
      <c r="A485" s="210"/>
    </row>
    <row r="486" spans="1:1" ht="12.75">
      <c r="A486" s="210"/>
    </row>
    <row r="487" spans="1:1" ht="12.75">
      <c r="A487" s="210"/>
    </row>
    <row r="488" spans="1:1" ht="12.75">
      <c r="A488" s="210"/>
    </row>
    <row r="489" spans="1:1" ht="12.75">
      <c r="A489" s="210"/>
    </row>
    <row r="490" spans="1:1" ht="12.75">
      <c r="A490" s="210"/>
    </row>
    <row r="491" spans="1:1" ht="12.75">
      <c r="A491" s="210"/>
    </row>
    <row r="492" spans="1:1" ht="12.75">
      <c r="A492" s="210"/>
    </row>
    <row r="493" spans="1:1" ht="12.75">
      <c r="A493" s="210"/>
    </row>
    <row r="494" spans="1:1" ht="12.75">
      <c r="A494" s="210"/>
    </row>
    <row r="495" spans="1:1" ht="12.75">
      <c r="A495" s="210"/>
    </row>
    <row r="496" spans="1:1" ht="12.75">
      <c r="A496" s="210"/>
    </row>
    <row r="497" spans="1:1" ht="12.75">
      <c r="A497" s="210"/>
    </row>
    <row r="498" spans="1:1" ht="12.75">
      <c r="A498" s="210"/>
    </row>
    <row r="499" spans="1:1" ht="12.75">
      <c r="A499" s="210"/>
    </row>
    <row r="500" spans="1:1" ht="12.75">
      <c r="A500" s="210"/>
    </row>
    <row r="501" spans="1:1" ht="12.75">
      <c r="A501" s="210"/>
    </row>
    <row r="502" spans="1:1" ht="12.75">
      <c r="A502" s="210"/>
    </row>
    <row r="503" spans="1:1" ht="12.75">
      <c r="A503" s="210"/>
    </row>
    <row r="504" spans="1:1" ht="12.75">
      <c r="A504" s="210"/>
    </row>
    <row r="505" spans="1:1" ht="12.75">
      <c r="A505" s="210"/>
    </row>
    <row r="506" spans="1:1" ht="12.75">
      <c r="A506" s="210"/>
    </row>
    <row r="507" spans="1:1" ht="12.75">
      <c r="A507" s="210"/>
    </row>
    <row r="508" spans="1:1" ht="12.75">
      <c r="A508" s="210"/>
    </row>
    <row r="509" spans="1:1" ht="12.75">
      <c r="A509" s="210"/>
    </row>
    <row r="510" spans="1:1" ht="12.75">
      <c r="A510" s="210"/>
    </row>
    <row r="511" spans="1:1" ht="12.75">
      <c r="A511" s="210"/>
    </row>
    <row r="512" spans="1:1" ht="12.75">
      <c r="A512" s="210"/>
    </row>
    <row r="513" spans="1:1" ht="12.75">
      <c r="A513" s="210"/>
    </row>
    <row r="514" spans="1:1" ht="12.75">
      <c r="A514" s="210"/>
    </row>
    <row r="515" spans="1:1" ht="12.75">
      <c r="A515" s="210"/>
    </row>
    <row r="516" spans="1:1" ht="12.75">
      <c r="A516" s="210"/>
    </row>
    <row r="517" spans="1:1" ht="12.75">
      <c r="A517" s="210"/>
    </row>
    <row r="518" spans="1:1" ht="12.75">
      <c r="A518" s="210"/>
    </row>
    <row r="519" spans="1:1" ht="12.75">
      <c r="A519" s="210"/>
    </row>
    <row r="520" spans="1:1" ht="12.75">
      <c r="A520" s="210"/>
    </row>
    <row r="521" spans="1:1" ht="12.75">
      <c r="A521" s="210"/>
    </row>
    <row r="522" spans="1:1" ht="12.75">
      <c r="A522" s="210"/>
    </row>
    <row r="523" spans="1:1" ht="12.75">
      <c r="A523" s="210"/>
    </row>
    <row r="524" spans="1:1" ht="12.75">
      <c r="A524" s="210"/>
    </row>
    <row r="525" spans="1:1" ht="12.75">
      <c r="A525" s="210"/>
    </row>
    <row r="526" spans="1:1" ht="12.75">
      <c r="A526" s="210"/>
    </row>
    <row r="527" spans="1:1" ht="12.75">
      <c r="A527" s="210"/>
    </row>
    <row r="528" spans="1:1" ht="12.75">
      <c r="A528" s="210"/>
    </row>
    <row r="529" spans="1:1" ht="12.75">
      <c r="A529" s="210"/>
    </row>
    <row r="530" spans="1:1" ht="12.75">
      <c r="A530" s="210"/>
    </row>
    <row r="531" spans="1:1" ht="12.75">
      <c r="A531" s="210"/>
    </row>
    <row r="532" spans="1:1" ht="12.75">
      <c r="A532" s="210"/>
    </row>
    <row r="533" spans="1:1" ht="12.75">
      <c r="A533" s="210"/>
    </row>
    <row r="534" spans="1:1" ht="12.75">
      <c r="A534" s="210"/>
    </row>
    <row r="535" spans="1:1" ht="12.75">
      <c r="A535" s="210"/>
    </row>
    <row r="536" spans="1:1" ht="12.75">
      <c r="A536" s="210"/>
    </row>
    <row r="537" spans="1:1" ht="12.75">
      <c r="A537" s="210"/>
    </row>
    <row r="538" spans="1:1" ht="12.75">
      <c r="A538" s="210"/>
    </row>
    <row r="539" spans="1:1" ht="12.75">
      <c r="A539" s="210"/>
    </row>
    <row r="540" spans="1:1" ht="12.75">
      <c r="A540" s="210"/>
    </row>
    <row r="541" spans="1:1" ht="12.75">
      <c r="A541" s="210"/>
    </row>
    <row r="542" spans="1:1" ht="12.75">
      <c r="A542" s="210"/>
    </row>
    <row r="543" spans="1:1" ht="12.75">
      <c r="A543" s="210"/>
    </row>
    <row r="544" spans="1:1" ht="12.75">
      <c r="A544" s="210"/>
    </row>
    <row r="545" spans="1:1" ht="12.75">
      <c r="A545" s="210"/>
    </row>
    <row r="546" spans="1:1" ht="12.75">
      <c r="A546" s="210"/>
    </row>
    <row r="547" spans="1:1" ht="12.75">
      <c r="A547" s="210"/>
    </row>
    <row r="548" spans="1:1" ht="12.75">
      <c r="A548" s="210"/>
    </row>
    <row r="549" spans="1:1" ht="12.75">
      <c r="A549" s="210"/>
    </row>
    <row r="550" spans="1:1" ht="12.75">
      <c r="A550" s="210"/>
    </row>
    <row r="551" spans="1:1" ht="12.75">
      <c r="A551" s="210"/>
    </row>
    <row r="552" spans="1:1" ht="12.75">
      <c r="A552" s="210"/>
    </row>
    <row r="553" spans="1:1" ht="12.75">
      <c r="A553" s="210"/>
    </row>
    <row r="554" spans="1:1" ht="12.75">
      <c r="A554" s="210"/>
    </row>
    <row r="555" spans="1:1" ht="12.75">
      <c r="A555" s="210"/>
    </row>
    <row r="556" spans="1:1" ht="12.75">
      <c r="A556" s="210"/>
    </row>
    <row r="557" spans="1:1" ht="12.75">
      <c r="A557" s="210"/>
    </row>
    <row r="558" spans="1:1" ht="12.75">
      <c r="A558" s="210"/>
    </row>
    <row r="559" spans="1:1" ht="12.75">
      <c r="A559" s="210"/>
    </row>
    <row r="560" spans="1:1" ht="12.75">
      <c r="A560" s="210"/>
    </row>
    <row r="561" spans="1:1" ht="12.75">
      <c r="A561" s="210"/>
    </row>
    <row r="562" spans="1:1" ht="12.75">
      <c r="A562" s="210"/>
    </row>
    <row r="563" spans="1:1" ht="12.75">
      <c r="A563" s="210"/>
    </row>
    <row r="564" spans="1:1" ht="12.75">
      <c r="A564" s="210"/>
    </row>
    <row r="565" spans="1:1" ht="12.75">
      <c r="A565" s="210"/>
    </row>
    <row r="566" spans="1:1" ht="12.75">
      <c r="A566" s="210"/>
    </row>
    <row r="567" spans="1:1" ht="12.75">
      <c r="A567" s="210"/>
    </row>
    <row r="568" spans="1:1" ht="12.75">
      <c r="A568" s="210"/>
    </row>
    <row r="569" spans="1:1" ht="12.75">
      <c r="A569" s="210"/>
    </row>
    <row r="570" spans="1:1" ht="12.75">
      <c r="A570" s="210"/>
    </row>
    <row r="571" spans="1:1" ht="12.75">
      <c r="A571" s="210"/>
    </row>
    <row r="572" spans="1:1" ht="12.75">
      <c r="A572" s="210"/>
    </row>
    <row r="573" spans="1:1" ht="12.75">
      <c r="A573" s="210"/>
    </row>
    <row r="574" spans="1:1" ht="12.75">
      <c r="A574" s="210"/>
    </row>
    <row r="575" spans="1:1" ht="12.75">
      <c r="A575" s="210"/>
    </row>
    <row r="576" spans="1:1" ht="12.75">
      <c r="A576" s="210"/>
    </row>
    <row r="577" spans="1:1" ht="12.75">
      <c r="A577" s="210"/>
    </row>
    <row r="578" spans="1:1" ht="12.75">
      <c r="A578" s="210"/>
    </row>
    <row r="579" spans="1:1" ht="12.75">
      <c r="A579" s="210"/>
    </row>
    <row r="580" spans="1:1" ht="12.75">
      <c r="A580" s="210"/>
    </row>
    <row r="581" spans="1:1" ht="12.75">
      <c r="A581" s="210"/>
    </row>
    <row r="582" spans="1:1" ht="12.75">
      <c r="A582" s="210"/>
    </row>
    <row r="583" spans="1:1" ht="12.75">
      <c r="A583" s="210"/>
    </row>
    <row r="584" spans="1:1" ht="12.75">
      <c r="A584" s="210"/>
    </row>
    <row r="585" spans="1:1" ht="12.75">
      <c r="A585" s="210"/>
    </row>
    <row r="586" spans="1:1" ht="12.75">
      <c r="A586" s="210"/>
    </row>
    <row r="587" spans="1:1" ht="12.75">
      <c r="A587" s="210"/>
    </row>
    <row r="588" spans="1:1" ht="12.75">
      <c r="A588" s="210"/>
    </row>
    <row r="589" spans="1:1" ht="12.75">
      <c r="A589" s="210"/>
    </row>
    <row r="590" spans="1:1" ht="12.75">
      <c r="A590" s="210"/>
    </row>
    <row r="591" spans="1:1" ht="12.75">
      <c r="A591" s="210"/>
    </row>
    <row r="592" spans="1:1" ht="12.75">
      <c r="A592" s="210"/>
    </row>
    <row r="593" spans="1:1" ht="12.75">
      <c r="A593" s="210"/>
    </row>
    <row r="594" spans="1:1" ht="12.75">
      <c r="A594" s="210"/>
    </row>
    <row r="595" spans="1:1" ht="12.75">
      <c r="A595" s="210"/>
    </row>
    <row r="596" spans="1:1" ht="12.75">
      <c r="A596" s="210"/>
    </row>
    <row r="597" spans="1:1" ht="12.75">
      <c r="A597" s="210"/>
    </row>
    <row r="598" spans="1:1" ht="12.75">
      <c r="A598" s="210"/>
    </row>
    <row r="599" spans="1:1" ht="12.75">
      <c r="A599" s="210"/>
    </row>
    <row r="600" spans="1:1" ht="12.75">
      <c r="A600" s="210"/>
    </row>
    <row r="601" spans="1:1" ht="12.75">
      <c r="A601" s="210"/>
    </row>
    <row r="602" spans="1:1" ht="12.75">
      <c r="A602" s="210"/>
    </row>
    <row r="603" spans="1:1" ht="12.75">
      <c r="A603" s="210"/>
    </row>
    <row r="604" spans="1:1" ht="12.75">
      <c r="A604" s="210"/>
    </row>
    <row r="605" spans="1:1" ht="12.75">
      <c r="A605" s="210"/>
    </row>
    <row r="606" spans="1:1" ht="12.75">
      <c r="A606" s="210"/>
    </row>
    <row r="607" spans="1:1" ht="12.75">
      <c r="A607" s="210"/>
    </row>
    <row r="608" spans="1:1" ht="12.75">
      <c r="A608" s="210"/>
    </row>
    <row r="609" spans="1:1" ht="12.75">
      <c r="A609" s="210"/>
    </row>
    <row r="610" spans="1:1" ht="12.75">
      <c r="A610" s="210"/>
    </row>
    <row r="611" spans="1:1" ht="12.75">
      <c r="A611" s="210"/>
    </row>
    <row r="612" spans="1:1" ht="12.75">
      <c r="A612" s="210"/>
    </row>
    <row r="613" spans="1:1" ht="12.75">
      <c r="A613" s="210"/>
    </row>
    <row r="614" spans="1:1" ht="12.75">
      <c r="A614" s="210"/>
    </row>
    <row r="615" spans="1:1" ht="12.75">
      <c r="A615" s="210"/>
    </row>
    <row r="616" spans="1:1" ht="12.75">
      <c r="A616" s="210"/>
    </row>
    <row r="617" spans="1:1" ht="12.75">
      <c r="A617" s="210"/>
    </row>
    <row r="618" spans="1:1" ht="12.75">
      <c r="A618" s="210"/>
    </row>
    <row r="619" spans="1:1" ht="12.75">
      <c r="A619" s="210"/>
    </row>
    <row r="620" spans="1:1" ht="12.75">
      <c r="A620" s="210"/>
    </row>
    <row r="621" spans="1:1" ht="12.75">
      <c r="A621" s="210"/>
    </row>
    <row r="622" spans="1:1" ht="12.75">
      <c r="A622" s="210"/>
    </row>
    <row r="623" spans="1:1" ht="12.75">
      <c r="A623" s="210"/>
    </row>
    <row r="624" spans="1:1" ht="12.75">
      <c r="A624" s="210"/>
    </row>
    <row r="625" spans="1:1" ht="12.75">
      <c r="A625" s="210"/>
    </row>
    <row r="626" spans="1:1" ht="12.75">
      <c r="A626" s="210"/>
    </row>
    <row r="627" spans="1:1" ht="12.75">
      <c r="A627" s="210"/>
    </row>
    <row r="628" spans="1:1" ht="12.75">
      <c r="A628" s="210"/>
    </row>
    <row r="629" spans="1:1" ht="12.75">
      <c r="A629" s="210"/>
    </row>
    <row r="630" spans="1:1" ht="12.75">
      <c r="A630" s="210"/>
    </row>
    <row r="631" spans="1:1" ht="12.75">
      <c r="A631" s="210"/>
    </row>
    <row r="632" spans="1:1" ht="12.75">
      <c r="A632" s="210"/>
    </row>
    <row r="633" spans="1:1" ht="12.75">
      <c r="A633" s="210"/>
    </row>
    <row r="634" spans="1:1" ht="12.75">
      <c r="A634" s="210"/>
    </row>
    <row r="635" spans="1:1" ht="12.75">
      <c r="A635" s="210"/>
    </row>
    <row r="636" spans="1:1" ht="12.75">
      <c r="A636" s="210"/>
    </row>
    <row r="637" spans="1:1" ht="12.75">
      <c r="A637" s="210"/>
    </row>
    <row r="638" spans="1:1" ht="12.75">
      <c r="A638" s="210"/>
    </row>
    <row r="639" spans="1:1" ht="12.75">
      <c r="A639" s="210"/>
    </row>
    <row r="640" spans="1:1" ht="12.75">
      <c r="A640" s="210"/>
    </row>
    <row r="641" spans="1:1" ht="12.75">
      <c r="A641" s="210"/>
    </row>
    <row r="642" spans="1:1" ht="12.75">
      <c r="A642" s="210"/>
    </row>
    <row r="643" spans="1:1" ht="12.75">
      <c r="A643" s="210"/>
    </row>
    <row r="644" spans="1:1" ht="12.75">
      <c r="A644" s="210"/>
    </row>
    <row r="645" spans="1:1" ht="12.75">
      <c r="A645" s="210"/>
    </row>
    <row r="646" spans="1:1" ht="12.75">
      <c r="A646" s="210"/>
    </row>
    <row r="647" spans="1:1" ht="12.75">
      <c r="A647" s="210"/>
    </row>
    <row r="648" spans="1:1" ht="12.75">
      <c r="A648" s="210"/>
    </row>
    <row r="649" spans="1:1" ht="12.75">
      <c r="A649" s="210"/>
    </row>
    <row r="650" spans="1:1" ht="12.75">
      <c r="A650" s="210"/>
    </row>
    <row r="651" spans="1:1" ht="12.75">
      <c r="A651" s="210"/>
    </row>
    <row r="652" spans="1:1" ht="12.75">
      <c r="A652" s="210"/>
    </row>
    <row r="653" spans="1:1" ht="12.75">
      <c r="A653" s="210"/>
    </row>
    <row r="654" spans="1:1" ht="12.75">
      <c r="A654" s="210"/>
    </row>
    <row r="655" spans="1:1" ht="12.75">
      <c r="A655" s="210"/>
    </row>
    <row r="656" spans="1:1" ht="12.75">
      <c r="A656" s="210"/>
    </row>
    <row r="657" spans="1:1" ht="12.75">
      <c r="A657" s="210"/>
    </row>
    <row r="658" spans="1:1" ht="12.75">
      <c r="A658" s="210"/>
    </row>
    <row r="659" spans="1:1" ht="12.75">
      <c r="A659" s="210"/>
    </row>
    <row r="660" spans="1:1" ht="12.75">
      <c r="A660" s="210"/>
    </row>
    <row r="661" spans="1:1" ht="12.75">
      <c r="A661" s="210"/>
    </row>
    <row r="662" spans="1:1" ht="12.75">
      <c r="A662" s="210"/>
    </row>
    <row r="663" spans="1:1" ht="12.75">
      <c r="A663" s="210"/>
    </row>
    <row r="664" spans="1:1" ht="12.75">
      <c r="A664" s="210"/>
    </row>
    <row r="665" spans="1:1" ht="12.75">
      <c r="A665" s="210"/>
    </row>
    <row r="666" spans="1:1" ht="12.75">
      <c r="A666" s="210"/>
    </row>
    <row r="667" spans="1:1" ht="12.75">
      <c r="A667" s="210"/>
    </row>
    <row r="668" spans="1:1" ht="12.75">
      <c r="A668" s="210"/>
    </row>
    <row r="669" spans="1:1" ht="12.75">
      <c r="A669" s="210"/>
    </row>
    <row r="670" spans="1:1" ht="12.75">
      <c r="A670" s="210"/>
    </row>
    <row r="671" spans="1:1" ht="12.75">
      <c r="A671" s="210"/>
    </row>
    <row r="672" spans="1:1" ht="12.75">
      <c r="A672" s="210"/>
    </row>
    <row r="673" spans="1:1" ht="12.75">
      <c r="A673" s="210"/>
    </row>
    <row r="674" spans="1:1" ht="12.75">
      <c r="A674" s="210"/>
    </row>
    <row r="675" spans="1:1" ht="12.75">
      <c r="A675" s="210"/>
    </row>
    <row r="676" spans="1:1" ht="12.75">
      <c r="A676" s="210"/>
    </row>
    <row r="677" spans="1:1" ht="12.75">
      <c r="A677" s="210"/>
    </row>
    <row r="678" spans="1:1" ht="12.75">
      <c r="A678" s="210"/>
    </row>
    <row r="679" spans="1:1" ht="12.75">
      <c r="A679" s="210"/>
    </row>
    <row r="680" spans="1:1" ht="12.75">
      <c r="A680" s="210"/>
    </row>
    <row r="681" spans="1:1" ht="12.75">
      <c r="A681" s="210"/>
    </row>
    <row r="682" spans="1:1" ht="12.75">
      <c r="A682" s="210"/>
    </row>
    <row r="683" spans="1:1" ht="12.75">
      <c r="A683" s="210"/>
    </row>
    <row r="684" spans="1:1" ht="12.75">
      <c r="A684" s="210"/>
    </row>
    <row r="685" spans="1:1" ht="12.75">
      <c r="A685" s="210"/>
    </row>
    <row r="686" spans="1:1" ht="12.75">
      <c r="A686" s="210"/>
    </row>
    <row r="687" spans="1:1" ht="12.75">
      <c r="A687" s="210"/>
    </row>
    <row r="688" spans="1:1" ht="12.75">
      <c r="A688" s="210"/>
    </row>
    <row r="689" spans="1:1" ht="12.75">
      <c r="A689" s="210"/>
    </row>
    <row r="690" spans="1:1" ht="12.75">
      <c r="A690" s="210"/>
    </row>
    <row r="691" spans="1:1" ht="12.75">
      <c r="A691" s="210"/>
    </row>
    <row r="692" spans="1:1" ht="12.75">
      <c r="A692" s="210"/>
    </row>
    <row r="693" spans="1:1" ht="12.75">
      <c r="A693" s="210"/>
    </row>
    <row r="694" spans="1:1" ht="12.75">
      <c r="A694" s="210"/>
    </row>
    <row r="695" spans="1:1" ht="12.75">
      <c r="A695" s="210"/>
    </row>
    <row r="696" spans="1:1" ht="12.75">
      <c r="A696" s="210"/>
    </row>
    <row r="697" spans="1:1" ht="12.75">
      <c r="A697" s="210"/>
    </row>
    <row r="698" spans="1:1" ht="12.75">
      <c r="A698" s="210"/>
    </row>
    <row r="699" spans="1:1" ht="12.75">
      <c r="A699" s="210"/>
    </row>
    <row r="700" spans="1:1" ht="12.75">
      <c r="A700" s="210"/>
    </row>
    <row r="701" spans="1:1" ht="12.75">
      <c r="A701" s="210"/>
    </row>
    <row r="702" spans="1:1" ht="12.75">
      <c r="A702" s="210"/>
    </row>
    <row r="703" spans="1:1" ht="12.75">
      <c r="A703" s="210"/>
    </row>
    <row r="704" spans="1:1" ht="12.75">
      <c r="A704" s="210"/>
    </row>
    <row r="705" spans="1:1" ht="12.75">
      <c r="A705" s="210"/>
    </row>
    <row r="706" spans="1:1" ht="12.75">
      <c r="A706" s="210"/>
    </row>
    <row r="707" spans="1:1" ht="12.75">
      <c r="A707" s="210"/>
    </row>
    <row r="708" spans="1:1" ht="12.75">
      <c r="A708" s="210"/>
    </row>
    <row r="709" spans="1:1" ht="12.75">
      <c r="A709" s="210"/>
    </row>
    <row r="710" spans="1:1" ht="12.75">
      <c r="A710" s="210"/>
    </row>
    <row r="711" spans="1:1" ht="12.75">
      <c r="A711" s="210"/>
    </row>
    <row r="712" spans="1:1" ht="12.75">
      <c r="A712" s="210"/>
    </row>
    <row r="713" spans="1:1" ht="12.75">
      <c r="A713" s="210"/>
    </row>
    <row r="714" spans="1:1" ht="12.75">
      <c r="A714" s="210"/>
    </row>
    <row r="715" spans="1:1" ht="12.75">
      <c r="A715" s="210"/>
    </row>
    <row r="716" spans="1:1" ht="12.75">
      <c r="A716" s="210"/>
    </row>
    <row r="717" spans="1:1" ht="12.75">
      <c r="A717" s="210"/>
    </row>
    <row r="718" spans="1:1" ht="12.75">
      <c r="A718" s="210"/>
    </row>
    <row r="719" spans="1:1" ht="12.75">
      <c r="A719" s="210"/>
    </row>
    <row r="720" spans="1:1" ht="12.75">
      <c r="A720" s="210"/>
    </row>
    <row r="721" spans="1:1" ht="12.75">
      <c r="A721" s="210"/>
    </row>
    <row r="722" spans="1:1" ht="12.75">
      <c r="A722" s="210"/>
    </row>
    <row r="723" spans="1:1" ht="12.75">
      <c r="A723" s="210"/>
    </row>
    <row r="724" spans="1:1" ht="12.75">
      <c r="A724" s="210"/>
    </row>
    <row r="725" spans="1:1" ht="12.75">
      <c r="A725" s="210"/>
    </row>
    <row r="726" spans="1:1" ht="12.75">
      <c r="A726" s="210"/>
    </row>
    <row r="727" spans="1:1" ht="12.75">
      <c r="A727" s="210"/>
    </row>
    <row r="728" spans="1:1" ht="12.75">
      <c r="A728" s="210"/>
    </row>
    <row r="729" spans="1:1" ht="12.75">
      <c r="A729" s="210"/>
    </row>
    <row r="730" spans="1:1" ht="12.75">
      <c r="A730" s="210"/>
    </row>
    <row r="731" spans="1:1" ht="12.75">
      <c r="A731" s="210"/>
    </row>
    <row r="732" spans="1:1" ht="12.75">
      <c r="A732" s="210"/>
    </row>
    <row r="733" spans="1:1" ht="12.75">
      <c r="A733" s="210"/>
    </row>
    <row r="734" spans="1:1" ht="12.75">
      <c r="A734" s="210"/>
    </row>
    <row r="735" spans="1:1" ht="12.75">
      <c r="A735" s="210"/>
    </row>
    <row r="736" spans="1:1" ht="12.75">
      <c r="A736" s="210"/>
    </row>
    <row r="737" spans="1:1" ht="12.75">
      <c r="A737" s="210"/>
    </row>
    <row r="738" spans="1:1" ht="12.75">
      <c r="A738" s="210"/>
    </row>
    <row r="739" spans="1:1" ht="12.75">
      <c r="A739" s="210"/>
    </row>
    <row r="740" spans="1:1" ht="12.75">
      <c r="A740" s="210"/>
    </row>
    <row r="741" spans="1:1" ht="12.75">
      <c r="A741" s="210"/>
    </row>
    <row r="742" spans="1:1" ht="12.75">
      <c r="A742" s="210"/>
    </row>
    <row r="743" spans="1:1" ht="12.75">
      <c r="A743" s="210"/>
    </row>
    <row r="744" spans="1:1" ht="12.75">
      <c r="A744" s="210"/>
    </row>
    <row r="745" spans="1:1" ht="12.75">
      <c r="A745" s="210"/>
    </row>
    <row r="746" spans="1:1" ht="12.75">
      <c r="A746" s="210"/>
    </row>
    <row r="747" spans="1:1" ht="12.75">
      <c r="A747" s="210"/>
    </row>
    <row r="748" spans="1:1" ht="12.75">
      <c r="A748" s="210"/>
    </row>
    <row r="749" spans="1:1" ht="12.75">
      <c r="A749" s="210"/>
    </row>
    <row r="750" spans="1:1" ht="12.75">
      <c r="A750" s="210"/>
    </row>
    <row r="751" spans="1:1" ht="12.75">
      <c r="A751" s="210"/>
    </row>
    <row r="752" spans="1:1" ht="12.75">
      <c r="A752" s="210"/>
    </row>
    <row r="753" spans="1:1" ht="12.75">
      <c r="A753" s="210"/>
    </row>
    <row r="754" spans="1:1" ht="12.75">
      <c r="A754" s="210"/>
    </row>
    <row r="755" spans="1:1" ht="12.75">
      <c r="A755" s="210"/>
    </row>
    <row r="756" spans="1:1" ht="12.75">
      <c r="A756" s="210"/>
    </row>
    <row r="757" spans="1:1" ht="12.75">
      <c r="A757" s="210"/>
    </row>
    <row r="758" spans="1:1" ht="12.75">
      <c r="A758" s="210"/>
    </row>
    <row r="759" spans="1:1" ht="12.75">
      <c r="A759" s="210"/>
    </row>
    <row r="760" spans="1:1" ht="12.75">
      <c r="A760" s="210"/>
    </row>
    <row r="761" spans="1:1" ht="12.75">
      <c r="A761" s="210"/>
    </row>
    <row r="762" spans="1:1" ht="12.75">
      <c r="A762" s="210"/>
    </row>
    <row r="763" spans="1:1" ht="12.75">
      <c r="A763" s="210"/>
    </row>
    <row r="764" spans="1:1" ht="12.75">
      <c r="A764" s="210"/>
    </row>
    <row r="765" spans="1:1" ht="12.75">
      <c r="A765" s="210"/>
    </row>
    <row r="766" spans="1:1" ht="12.75">
      <c r="A766" s="210"/>
    </row>
    <row r="767" spans="1:1" ht="12.75">
      <c r="A767" s="210"/>
    </row>
    <row r="768" spans="1:1" ht="12.75">
      <c r="A768" s="210"/>
    </row>
    <row r="769" spans="1:1" ht="12.75">
      <c r="A769" s="210"/>
    </row>
    <row r="770" spans="1:1" ht="12.75">
      <c r="A770" s="210"/>
    </row>
    <row r="771" spans="1:1" ht="12.75">
      <c r="A771" s="210"/>
    </row>
    <row r="772" spans="1:1" ht="12.75">
      <c r="A772" s="210"/>
    </row>
    <row r="773" spans="1:1" ht="12.75">
      <c r="A773" s="210"/>
    </row>
    <row r="774" spans="1:1" ht="12.75">
      <c r="A774" s="210"/>
    </row>
    <row r="775" spans="1:1" ht="12.75">
      <c r="A775" s="210"/>
    </row>
    <row r="776" spans="1:1" ht="12.75">
      <c r="A776" s="210"/>
    </row>
    <row r="777" spans="1:1" ht="12.75">
      <c r="A777" s="210"/>
    </row>
    <row r="778" spans="1:1" ht="12.75">
      <c r="A778" s="210"/>
    </row>
    <row r="779" spans="1:1" ht="12.75">
      <c r="A779" s="210"/>
    </row>
    <row r="780" spans="1:1" ht="12.75">
      <c r="A780" s="210"/>
    </row>
    <row r="781" spans="1:1" ht="12.75">
      <c r="A781" s="210"/>
    </row>
    <row r="782" spans="1:1" ht="12.75">
      <c r="A782" s="210"/>
    </row>
    <row r="783" spans="1:1" ht="12.75">
      <c r="A783" s="210"/>
    </row>
    <row r="784" spans="1:1" ht="12.75">
      <c r="A784" s="210"/>
    </row>
    <row r="785" spans="1:1" ht="12.75">
      <c r="A785" s="210"/>
    </row>
    <row r="786" spans="1:1" ht="12.75">
      <c r="A786" s="210"/>
    </row>
    <row r="787" spans="1:1" ht="12.75">
      <c r="A787" s="210"/>
    </row>
    <row r="788" spans="1:1" ht="12.75">
      <c r="A788" s="210"/>
    </row>
    <row r="789" spans="1:1" ht="12.75">
      <c r="A789" s="210"/>
    </row>
    <row r="790" spans="1:1" ht="12.75">
      <c r="A790" s="210"/>
    </row>
    <row r="791" spans="1:1" ht="12.75">
      <c r="A791" s="210"/>
    </row>
    <row r="792" spans="1:1" ht="12.75">
      <c r="A792" s="210"/>
    </row>
    <row r="793" spans="1:1" ht="12.75">
      <c r="A793" s="210"/>
    </row>
    <row r="794" spans="1:1" ht="12.75">
      <c r="A794" s="210"/>
    </row>
    <row r="795" spans="1:1" ht="12.75">
      <c r="A795" s="210"/>
    </row>
    <row r="796" spans="1:1" ht="12.75">
      <c r="A796" s="210"/>
    </row>
    <row r="797" spans="1:1" ht="12.75">
      <c r="A797" s="210"/>
    </row>
    <row r="798" spans="1:1" ht="12.75">
      <c r="A798" s="210"/>
    </row>
    <row r="799" spans="1:1" ht="12.75">
      <c r="A799" s="210"/>
    </row>
    <row r="800" spans="1:1" ht="12.75">
      <c r="A800" s="210"/>
    </row>
    <row r="801" spans="1:1" ht="12.75">
      <c r="A801" s="210"/>
    </row>
    <row r="802" spans="1:1" ht="12.75">
      <c r="A802" s="210"/>
    </row>
    <row r="803" spans="1:1" ht="12.75">
      <c r="A803" s="210"/>
    </row>
    <row r="804" spans="1:1" ht="12.75">
      <c r="A804" s="210"/>
    </row>
    <row r="805" spans="1:1" ht="12.75">
      <c r="A805" s="210"/>
    </row>
    <row r="806" spans="1:1" ht="12.75">
      <c r="A806" s="210"/>
    </row>
    <row r="807" spans="1:1" ht="12.75">
      <c r="A807" s="210"/>
    </row>
    <row r="808" spans="1:1" ht="12.75">
      <c r="A808" s="210"/>
    </row>
    <row r="809" spans="1:1" ht="12.75">
      <c r="A809" s="210"/>
    </row>
    <row r="810" spans="1:1" ht="12.75">
      <c r="A810" s="210"/>
    </row>
    <row r="811" spans="1:1" ht="12.75">
      <c r="A811" s="210"/>
    </row>
    <row r="812" spans="1:1" ht="12.75">
      <c r="A812" s="210"/>
    </row>
    <row r="813" spans="1:1" ht="12.75">
      <c r="A813" s="210"/>
    </row>
    <row r="814" spans="1:1" ht="12.75">
      <c r="A814" s="210"/>
    </row>
    <row r="815" spans="1:1" ht="12.75">
      <c r="A815" s="210"/>
    </row>
    <row r="816" spans="1:1" ht="12.75">
      <c r="A816" s="210"/>
    </row>
    <row r="817" spans="1:1" ht="12.75">
      <c r="A817" s="210"/>
    </row>
    <row r="818" spans="1:1" ht="12.75">
      <c r="A818" s="210"/>
    </row>
    <row r="819" spans="1:1" ht="12.75">
      <c r="A819" s="210"/>
    </row>
    <row r="820" spans="1:1" ht="12.75">
      <c r="A820" s="210"/>
    </row>
    <row r="821" spans="1:1" ht="12.75">
      <c r="A821" s="210"/>
    </row>
    <row r="822" spans="1:1" ht="12.75">
      <c r="A822" s="210"/>
    </row>
    <row r="823" spans="1:1" ht="12.75">
      <c r="A823" s="210"/>
    </row>
    <row r="824" spans="1:1" ht="12.75">
      <c r="A824" s="210"/>
    </row>
    <row r="825" spans="1:1" ht="12.75">
      <c r="A825" s="210"/>
    </row>
    <row r="826" spans="1:1" ht="12.75">
      <c r="A826" s="210"/>
    </row>
    <row r="827" spans="1:1" ht="12.75">
      <c r="A827" s="210"/>
    </row>
    <row r="828" spans="1:1" ht="12.75">
      <c r="A828" s="210"/>
    </row>
    <row r="829" spans="1:1" ht="12.75">
      <c r="A829" s="210"/>
    </row>
    <row r="830" spans="1:1" ht="12.75">
      <c r="A830" s="210"/>
    </row>
    <row r="831" spans="1:1" ht="12.75">
      <c r="A831" s="210"/>
    </row>
    <row r="832" spans="1:1" ht="12.75">
      <c r="A832" s="210"/>
    </row>
    <row r="833" spans="1:1" ht="12.75">
      <c r="A833" s="210"/>
    </row>
    <row r="834" spans="1:1" ht="12.75">
      <c r="A834" s="210"/>
    </row>
    <row r="835" spans="1:1" ht="12.75">
      <c r="A835" s="210"/>
    </row>
    <row r="836" spans="1:1" ht="12.75">
      <c r="A836" s="210"/>
    </row>
    <row r="837" spans="1:1" ht="12.75">
      <c r="A837" s="210"/>
    </row>
    <row r="838" spans="1:1" ht="12.75">
      <c r="A838" s="210"/>
    </row>
    <row r="839" spans="1:1" ht="12.75">
      <c r="A839" s="210"/>
    </row>
    <row r="840" spans="1:1" ht="12.75">
      <c r="A840" s="210"/>
    </row>
    <row r="841" spans="1:1" ht="12.75">
      <c r="A841" s="210"/>
    </row>
    <row r="842" spans="1:1" ht="12.75">
      <c r="A842" s="210"/>
    </row>
    <row r="843" spans="1:1" ht="12.75">
      <c r="A843" s="210"/>
    </row>
    <row r="844" spans="1:1" ht="12.75">
      <c r="A844" s="210"/>
    </row>
    <row r="845" spans="1:1" ht="12.75">
      <c r="A845" s="210"/>
    </row>
    <row r="846" spans="1:1" ht="12.75">
      <c r="A846" s="210"/>
    </row>
    <row r="847" spans="1:1" ht="12.75">
      <c r="A847" s="210"/>
    </row>
    <row r="848" spans="1:1" ht="12.75">
      <c r="A848" s="210"/>
    </row>
    <row r="849" spans="1:1" ht="12.75">
      <c r="A849" s="210"/>
    </row>
    <row r="850" spans="1:1" ht="12.75">
      <c r="A850" s="210"/>
    </row>
    <row r="851" spans="1:1" ht="12.75">
      <c r="A851" s="210"/>
    </row>
    <row r="852" spans="1:1" ht="12.75">
      <c r="A852" s="210"/>
    </row>
    <row r="853" spans="1:1" ht="12.75">
      <c r="A853" s="210"/>
    </row>
    <row r="854" spans="1:1" ht="12.75">
      <c r="A854" s="210"/>
    </row>
    <row r="855" spans="1:1" ht="12.75">
      <c r="A855" s="210"/>
    </row>
    <row r="856" spans="1:1" ht="12.75">
      <c r="A856" s="210"/>
    </row>
    <row r="857" spans="1:1" ht="12.75">
      <c r="A857" s="210"/>
    </row>
    <row r="858" spans="1:1" ht="12.75">
      <c r="A858" s="210"/>
    </row>
    <row r="859" spans="1:1" ht="12.75">
      <c r="A859" s="210"/>
    </row>
    <row r="860" spans="1:1" ht="12.75">
      <c r="A860" s="210"/>
    </row>
    <row r="861" spans="1:1" ht="12.75">
      <c r="A861" s="210"/>
    </row>
    <row r="862" spans="1:1" ht="12.75">
      <c r="A862" s="210"/>
    </row>
    <row r="863" spans="1:1" ht="12.75">
      <c r="A863" s="210"/>
    </row>
    <row r="864" spans="1:1" ht="12.75">
      <c r="A864" s="210"/>
    </row>
    <row r="865" spans="1:1" ht="12.75">
      <c r="A865" s="210"/>
    </row>
    <row r="866" spans="1:1" ht="12.75">
      <c r="A866" s="210"/>
    </row>
    <row r="867" spans="1:1" ht="12.75">
      <c r="A867" s="210"/>
    </row>
    <row r="868" spans="1:1" ht="12.75">
      <c r="A868" s="210"/>
    </row>
    <row r="869" spans="1:1" ht="12.75">
      <c r="A869" s="210"/>
    </row>
    <row r="870" spans="1:1" ht="12.75">
      <c r="A870" s="210"/>
    </row>
    <row r="871" spans="1:1" ht="12.75">
      <c r="A871" s="210"/>
    </row>
    <row r="872" spans="1:1" ht="12.75">
      <c r="A872" s="210"/>
    </row>
    <row r="873" spans="1:1" ht="12.75">
      <c r="A873" s="210"/>
    </row>
    <row r="874" spans="1:1" ht="12.75">
      <c r="A874" s="210"/>
    </row>
    <row r="875" spans="1:1" ht="12.75">
      <c r="A875" s="210"/>
    </row>
    <row r="876" spans="1:1" ht="12.75">
      <c r="A876" s="210"/>
    </row>
    <row r="877" spans="1:1" ht="12.75">
      <c r="A877" s="210"/>
    </row>
    <row r="878" spans="1:1" ht="12.75">
      <c r="A878" s="210"/>
    </row>
    <row r="879" spans="1:1" ht="12.75">
      <c r="A879" s="210"/>
    </row>
    <row r="880" spans="1:1" ht="12.75">
      <c r="A880" s="210"/>
    </row>
    <row r="881" spans="1:1" ht="12.75">
      <c r="A881" s="210"/>
    </row>
    <row r="882" spans="1:1" ht="12.75">
      <c r="A882" s="210"/>
    </row>
    <row r="883" spans="1:1" ht="12.75">
      <c r="A883" s="210"/>
    </row>
    <row r="884" spans="1:1" ht="12.75">
      <c r="A884" s="210"/>
    </row>
    <row r="885" spans="1:1" ht="12.75">
      <c r="A885" s="210"/>
    </row>
    <row r="886" spans="1:1" ht="12.75">
      <c r="A886" s="210"/>
    </row>
    <row r="887" spans="1:1" ht="12.75">
      <c r="A887" s="210"/>
    </row>
    <row r="888" spans="1:1" ht="12.75">
      <c r="A888" s="210"/>
    </row>
    <row r="889" spans="1:1" ht="12.75">
      <c r="A889" s="210"/>
    </row>
    <row r="890" spans="1:1" ht="12.75">
      <c r="A890" s="210"/>
    </row>
    <row r="891" spans="1:1" ht="12.75">
      <c r="A891" s="210"/>
    </row>
    <row r="892" spans="1:1" ht="12.75">
      <c r="A892" s="210"/>
    </row>
    <row r="893" spans="1:1" ht="12.75">
      <c r="A893" s="210"/>
    </row>
    <row r="894" spans="1:1" ht="12.75">
      <c r="A894" s="210"/>
    </row>
    <row r="895" spans="1:1" ht="12.75">
      <c r="A895" s="210"/>
    </row>
    <row r="896" spans="1:1" ht="12.75">
      <c r="A896" s="210"/>
    </row>
    <row r="897" spans="1:1" ht="12.75">
      <c r="A897" s="210"/>
    </row>
    <row r="898" spans="1:1" ht="12.75">
      <c r="A898" s="210"/>
    </row>
    <row r="899" spans="1:1" ht="12.75">
      <c r="A899" s="210"/>
    </row>
    <row r="900" spans="1:1" ht="12.75">
      <c r="A900" s="210"/>
    </row>
    <row r="901" spans="1:1" ht="12.75">
      <c r="A901" s="210"/>
    </row>
    <row r="902" spans="1:1" ht="12.75">
      <c r="A902" s="210"/>
    </row>
    <row r="903" spans="1:1" ht="12.75">
      <c r="A903" s="210"/>
    </row>
    <row r="904" spans="1:1" ht="12.75">
      <c r="A904" s="210"/>
    </row>
    <row r="905" spans="1:1" ht="12.75">
      <c r="A905" s="210"/>
    </row>
    <row r="906" spans="1:1" ht="12.75">
      <c r="A906" s="210"/>
    </row>
    <row r="907" spans="1:1" ht="12.75">
      <c r="A907" s="210"/>
    </row>
    <row r="908" spans="1:1" ht="12.75">
      <c r="A908" s="210"/>
    </row>
    <row r="909" spans="1:1" ht="12.75">
      <c r="A909" s="210"/>
    </row>
    <row r="910" spans="1:1" ht="12.75">
      <c r="A910" s="210"/>
    </row>
    <row r="911" spans="1:1" ht="12.75">
      <c r="A911" s="210"/>
    </row>
    <row r="912" spans="1:1" ht="12.75">
      <c r="A912" s="210"/>
    </row>
    <row r="913" spans="1:1" ht="12.75">
      <c r="A913" s="210"/>
    </row>
    <row r="914" spans="1:1" ht="12.75">
      <c r="A914" s="210"/>
    </row>
    <row r="915" spans="1:1" ht="12.75">
      <c r="A915" s="210"/>
    </row>
    <row r="916" spans="1:1" ht="12.75">
      <c r="A916" s="210"/>
    </row>
    <row r="917" spans="1:1" ht="12.75">
      <c r="A917" s="210"/>
    </row>
    <row r="918" spans="1:1" ht="12.75">
      <c r="A918" s="210"/>
    </row>
    <row r="919" spans="1:1" ht="12.75">
      <c r="A919" s="210"/>
    </row>
    <row r="920" spans="1:1" ht="12.75">
      <c r="A920" s="210"/>
    </row>
    <row r="921" spans="1:1" ht="12.75">
      <c r="A921" s="210"/>
    </row>
    <row r="922" spans="1:1" ht="12.75">
      <c r="A922" s="210"/>
    </row>
    <row r="923" spans="1:1" ht="12.75">
      <c r="A923" s="210"/>
    </row>
    <row r="924" spans="1:1" ht="12.75">
      <c r="A924" s="210"/>
    </row>
    <row r="925" spans="1:1" ht="12.75">
      <c r="A925" s="210"/>
    </row>
    <row r="926" spans="1:1" ht="12.75">
      <c r="A926" s="210"/>
    </row>
    <row r="927" spans="1:1" ht="12.75">
      <c r="A927" s="210"/>
    </row>
    <row r="928" spans="1:1" ht="12.75">
      <c r="A928" s="210"/>
    </row>
    <row r="929" spans="1:1" ht="12.75">
      <c r="A929" s="210"/>
    </row>
    <row r="930" spans="1:1" ht="12.75">
      <c r="A930" s="210"/>
    </row>
    <row r="931" spans="1:1" ht="12.75">
      <c r="A931" s="210"/>
    </row>
    <row r="932" spans="1:1" ht="12.75">
      <c r="A932" s="210"/>
    </row>
    <row r="933" spans="1:1" ht="12.75">
      <c r="A933" s="210"/>
    </row>
    <row r="934" spans="1:1" ht="12.75">
      <c r="A934" s="210"/>
    </row>
    <row r="935" spans="1:1" ht="12.75">
      <c r="A935" s="210"/>
    </row>
    <row r="936" spans="1:1" ht="12.75">
      <c r="A936" s="210"/>
    </row>
    <row r="937" spans="1:1" ht="12.75">
      <c r="A937" s="210"/>
    </row>
    <row r="938" spans="1:1" ht="12.75">
      <c r="A938" s="210"/>
    </row>
    <row r="939" spans="1:1" ht="12.75">
      <c r="A939" s="210"/>
    </row>
    <row r="940" spans="1:1" ht="12.75">
      <c r="A940" s="210"/>
    </row>
    <row r="941" spans="1:1" ht="12.75">
      <c r="A941" s="210"/>
    </row>
    <row r="942" spans="1:1" ht="12.75">
      <c r="A942" s="210"/>
    </row>
    <row r="943" spans="1:1" ht="12.75">
      <c r="A943" s="210"/>
    </row>
    <row r="944" spans="1:1" ht="12.75">
      <c r="A944" s="210"/>
    </row>
    <row r="945" spans="1:1" ht="12.75">
      <c r="A945" s="210"/>
    </row>
    <row r="946" spans="1:1" ht="12.75">
      <c r="A946" s="210"/>
    </row>
    <row r="947" spans="1:1" ht="12.75">
      <c r="A947" s="210"/>
    </row>
    <row r="948" spans="1:1" ht="12.75">
      <c r="A948" s="210"/>
    </row>
    <row r="949" spans="1:1" ht="12.75">
      <c r="A949" s="210"/>
    </row>
    <row r="950" spans="1:1" ht="12.75">
      <c r="A950" s="210"/>
    </row>
    <row r="951" spans="1:1" ht="12.75">
      <c r="A951" s="210"/>
    </row>
    <row r="952" spans="1:1" ht="12.75">
      <c r="A952" s="210"/>
    </row>
    <row r="953" spans="1:1" ht="12.75">
      <c r="A953" s="210"/>
    </row>
    <row r="954" spans="1:1" ht="12.75">
      <c r="A954" s="210"/>
    </row>
    <row r="955" spans="1:1" ht="12.75">
      <c r="A955" s="210"/>
    </row>
    <row r="956" spans="1:1" ht="12.75">
      <c r="A956" s="210"/>
    </row>
    <row r="957" spans="1:1" ht="12.75">
      <c r="A957" s="210"/>
    </row>
    <row r="958" spans="1:1" ht="12.75">
      <c r="A958" s="210"/>
    </row>
    <row r="959" spans="1:1" ht="12.75">
      <c r="A959" s="210"/>
    </row>
    <row r="960" spans="1:1" ht="12.75">
      <c r="A960" s="210"/>
    </row>
    <row r="961" spans="1:1" ht="12.75">
      <c r="A961" s="210"/>
    </row>
    <row r="962" spans="1:1" ht="12.75">
      <c r="A962" s="210"/>
    </row>
    <row r="963" spans="1:1" ht="12.75">
      <c r="A963" s="210"/>
    </row>
    <row r="964" spans="1:1" ht="12.75">
      <c r="A964" s="210"/>
    </row>
    <row r="965" spans="1:1" ht="12.75">
      <c r="A965" s="210"/>
    </row>
    <row r="966" spans="1:1" ht="12.75">
      <c r="A966" s="210"/>
    </row>
    <row r="967" spans="1:1" ht="12.75">
      <c r="A967" s="210"/>
    </row>
    <row r="968" spans="1:1" ht="12.75">
      <c r="A968" s="210"/>
    </row>
    <row r="969" spans="1:1" ht="12.75">
      <c r="A969" s="210"/>
    </row>
    <row r="970" spans="1:1" ht="12.75">
      <c r="A970" s="210"/>
    </row>
    <row r="971" spans="1:1" ht="12.75">
      <c r="A971" s="210"/>
    </row>
    <row r="972" spans="1:1" ht="12.75">
      <c r="A972" s="210"/>
    </row>
    <row r="973" spans="1:1" ht="12.75">
      <c r="A973" s="210"/>
    </row>
    <row r="974" spans="1:1" ht="12.75">
      <c r="A974" s="210"/>
    </row>
    <row r="975" spans="1:1" ht="12.75">
      <c r="A975" s="210"/>
    </row>
    <row r="976" spans="1:1" ht="12.75">
      <c r="A976" s="210"/>
    </row>
    <row r="977" spans="1:1" ht="12.75">
      <c r="A977" s="210"/>
    </row>
    <row r="978" spans="1:1" ht="12.75">
      <c r="A978" s="210"/>
    </row>
    <row r="979" spans="1:1" ht="12.75">
      <c r="A979" s="210"/>
    </row>
    <row r="980" spans="1:1" ht="12.75">
      <c r="A980" s="210"/>
    </row>
    <row r="981" spans="1:1" ht="12.75">
      <c r="A981" s="210"/>
    </row>
    <row r="982" spans="1:1" ht="12.75">
      <c r="A982" s="210"/>
    </row>
    <row r="983" spans="1:1" ht="12.75">
      <c r="A983" s="210"/>
    </row>
    <row r="984" spans="1:1" ht="12.75">
      <c r="A984" s="210"/>
    </row>
    <row r="985" spans="1:1" ht="12.75">
      <c r="A985" s="210"/>
    </row>
    <row r="986" spans="1:1" ht="12.75">
      <c r="A986" s="210"/>
    </row>
    <row r="987" spans="1:1" ht="12.75">
      <c r="A987" s="210"/>
    </row>
    <row r="988" spans="1:1" ht="12.75">
      <c r="A988" s="210"/>
    </row>
    <row r="989" spans="1:1" ht="12.75">
      <c r="A989" s="210"/>
    </row>
    <row r="990" spans="1:1" ht="12.75">
      <c r="A990" s="210"/>
    </row>
    <row r="991" spans="1:1" ht="12.75">
      <c r="A991" s="210"/>
    </row>
    <row r="992" spans="1:1" ht="12.75">
      <c r="A992" s="210"/>
    </row>
    <row r="993" spans="1:1" ht="12.75">
      <c r="A993" s="210"/>
    </row>
    <row r="994" spans="1:1" ht="12.75">
      <c r="A994" s="210"/>
    </row>
    <row r="995" spans="1:1" ht="12.75">
      <c r="A995" s="210"/>
    </row>
    <row r="996" spans="1:1" ht="12.75">
      <c r="A996" s="210"/>
    </row>
    <row r="997" spans="1:1" ht="12.75">
      <c r="A997" s="210"/>
    </row>
    <row r="998" spans="1:1" ht="12.75">
      <c r="A998" s="210"/>
    </row>
    <row r="999" spans="1:1" ht="12.75">
      <c r="A999" s="210"/>
    </row>
    <row r="1000" spans="1:1" ht="12.75">
      <c r="A1000" s="210"/>
    </row>
    <row r="1001" spans="1:1" ht="12.75">
      <c r="A1001" s="210"/>
    </row>
    <row r="1002" spans="1:1" ht="12.75">
      <c r="A1002" s="210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F12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9" customWidth="1"/>
    <col min="2" max="2" width="24.140625" customWidth="1"/>
    <col min="3" max="3" width="37.28515625" customWidth="1"/>
    <col min="4" max="4" width="23" customWidth="1"/>
    <col min="5" max="6" width="14.42578125" customWidth="1"/>
  </cols>
  <sheetData>
    <row r="1" spans="1:6" ht="23.25" customHeight="1">
      <c r="A1" s="211"/>
      <c r="B1" s="211" t="s">
        <v>1544</v>
      </c>
      <c r="C1" s="211" t="s">
        <v>1545</v>
      </c>
      <c r="D1" s="211" t="s">
        <v>1546</v>
      </c>
      <c r="E1" s="211" t="s">
        <v>1547</v>
      </c>
      <c r="F1" s="211" t="s">
        <v>1548</v>
      </c>
    </row>
    <row r="2" spans="1:6" ht="12.75">
      <c r="A2" s="212">
        <v>4</v>
      </c>
      <c r="B2" s="212" t="s">
        <v>1549</v>
      </c>
      <c r="C2" s="212" t="s">
        <v>1549</v>
      </c>
      <c r="D2" s="212"/>
      <c r="E2" s="212" t="s">
        <v>1550</v>
      </c>
      <c r="F2" s="212">
        <v>4</v>
      </c>
    </row>
    <row r="3" spans="1:6" ht="12.75">
      <c r="A3" s="212"/>
      <c r="B3" s="212" t="s">
        <v>1551</v>
      </c>
      <c r="C3" s="212" t="s">
        <v>1552</v>
      </c>
      <c r="D3" s="212"/>
      <c r="E3" s="212"/>
      <c r="F3" s="212"/>
    </row>
    <row r="4" spans="1:6" ht="12.75">
      <c r="A4" s="212"/>
      <c r="B4" s="212" t="s">
        <v>1553</v>
      </c>
      <c r="C4" s="212" t="s">
        <v>1553</v>
      </c>
      <c r="D4" s="212"/>
      <c r="E4" s="212" t="s">
        <v>1554</v>
      </c>
      <c r="F4" s="212">
        <v>5</v>
      </c>
    </row>
    <row r="5" spans="1:6" ht="12.75">
      <c r="A5" s="212">
        <v>3</v>
      </c>
      <c r="B5" s="212" t="s">
        <v>1555</v>
      </c>
      <c r="C5" s="212" t="s">
        <v>1555</v>
      </c>
      <c r="D5" s="212"/>
      <c r="E5" s="212"/>
      <c r="F5" s="212"/>
    </row>
    <row r="6" spans="1:6" ht="12.75">
      <c r="A6" s="212"/>
      <c r="B6" s="212" t="s">
        <v>1556</v>
      </c>
      <c r="C6" s="212" t="s">
        <v>1556</v>
      </c>
      <c r="D6" s="212"/>
      <c r="E6" s="212"/>
      <c r="F6" s="212"/>
    </row>
    <row r="7" spans="1:6" ht="12.75">
      <c r="A7" s="212">
        <v>6</v>
      </c>
      <c r="B7" s="212" t="s">
        <v>1557</v>
      </c>
      <c r="C7" s="212" t="s">
        <v>1558</v>
      </c>
    </row>
    <row r="8" spans="1:6" ht="12.75">
      <c r="A8" s="212">
        <v>6</v>
      </c>
      <c r="B8" s="212" t="s">
        <v>1559</v>
      </c>
      <c r="C8" s="212" t="s">
        <v>1560</v>
      </c>
    </row>
    <row r="9" spans="1:6" ht="12.75">
      <c r="A9" s="212">
        <v>5</v>
      </c>
      <c r="B9" s="212" t="s">
        <v>1561</v>
      </c>
      <c r="C9" s="212" t="s">
        <v>1561</v>
      </c>
      <c r="D9" s="213" t="s">
        <v>1562</v>
      </c>
    </row>
    <row r="10" spans="1:6" ht="12.75">
      <c r="A10" s="212">
        <v>2</v>
      </c>
      <c r="B10" s="212" t="s">
        <v>1563</v>
      </c>
      <c r="C10" s="212" t="s">
        <v>1563</v>
      </c>
      <c r="D10" s="212"/>
      <c r="E10" s="212"/>
      <c r="F10" s="212"/>
    </row>
    <row r="11" spans="1:6" ht="12.75">
      <c r="A11" s="212">
        <v>7</v>
      </c>
      <c r="B11" s="212" t="s">
        <v>1564</v>
      </c>
      <c r="C11" s="212" t="s">
        <v>1565</v>
      </c>
    </row>
    <row r="12" spans="1:6" ht="12.75">
      <c r="A12" s="212">
        <v>4</v>
      </c>
      <c r="B12" s="212" t="s">
        <v>1566</v>
      </c>
      <c r="C12" s="212" t="s">
        <v>1566</v>
      </c>
      <c r="D12" s="212"/>
      <c r="E12" s="212"/>
      <c r="F12" s="212"/>
    </row>
    <row r="13" spans="1:6" ht="12.75">
      <c r="A13" s="212"/>
      <c r="B13" s="212" t="s">
        <v>1567</v>
      </c>
      <c r="C13" s="212" t="s">
        <v>1568</v>
      </c>
    </row>
    <row r="14" spans="1:6" ht="12.75">
      <c r="A14" s="212">
        <v>5</v>
      </c>
      <c r="B14" s="212" t="s">
        <v>1569</v>
      </c>
      <c r="C14" s="212" t="s">
        <v>1570</v>
      </c>
    </row>
    <row r="15" spans="1:6" ht="12.75">
      <c r="A15" s="212">
        <v>2</v>
      </c>
      <c r="B15" s="212" t="s">
        <v>1571</v>
      </c>
      <c r="C15" s="212" t="s">
        <v>1571</v>
      </c>
      <c r="D15" s="212"/>
      <c r="E15" s="212" t="s">
        <v>1572</v>
      </c>
      <c r="F15" s="212">
        <v>7</v>
      </c>
    </row>
    <row r="16" spans="1:6" ht="12.75">
      <c r="A16" s="212"/>
      <c r="B16" s="212" t="s">
        <v>1573</v>
      </c>
      <c r="C16" s="212" t="s">
        <v>1574</v>
      </c>
    </row>
    <row r="17" spans="1:6" ht="12.75">
      <c r="A17" s="212"/>
      <c r="B17" s="212" t="s">
        <v>433</v>
      </c>
      <c r="C17" s="212" t="s">
        <v>433</v>
      </c>
    </row>
    <row r="18" spans="1:6" ht="12.75">
      <c r="A18" s="212">
        <v>4</v>
      </c>
      <c r="B18" s="212" t="s">
        <v>1575</v>
      </c>
      <c r="C18" s="212" t="s">
        <v>1575</v>
      </c>
      <c r="D18" s="212"/>
      <c r="E18" s="212" t="s">
        <v>1576</v>
      </c>
      <c r="F18" s="212">
        <v>6</v>
      </c>
    </row>
    <row r="19" spans="1:6" ht="12.75">
      <c r="A19" s="212">
        <v>3</v>
      </c>
      <c r="B19" s="212" t="s">
        <v>1577</v>
      </c>
      <c r="C19" s="212" t="s">
        <v>1578</v>
      </c>
    </row>
    <row r="20" spans="1:6" ht="12.75">
      <c r="A20" s="212">
        <v>3</v>
      </c>
      <c r="B20" s="212" t="s">
        <v>1579</v>
      </c>
      <c r="C20" s="212" t="s">
        <v>1580</v>
      </c>
    </row>
    <row r="21" spans="1:6" ht="12.75">
      <c r="A21" s="212">
        <v>2</v>
      </c>
      <c r="B21" s="212" t="s">
        <v>1581</v>
      </c>
      <c r="C21" s="212" t="s">
        <v>1581</v>
      </c>
      <c r="D21" s="212"/>
      <c r="E21" s="212"/>
      <c r="F21" s="212"/>
    </row>
    <row r="22" spans="1:6" ht="12.75">
      <c r="A22" s="212"/>
      <c r="B22" s="212" t="s">
        <v>1582</v>
      </c>
      <c r="C22" s="212" t="s">
        <v>1582</v>
      </c>
      <c r="D22" s="212"/>
      <c r="E22" s="212"/>
      <c r="F22" s="212"/>
    </row>
    <row r="23" spans="1:6" ht="12.75">
      <c r="A23" s="212"/>
      <c r="B23" s="212" t="s">
        <v>1582</v>
      </c>
      <c r="C23" s="212" t="s">
        <v>1582</v>
      </c>
    </row>
    <row r="24" spans="1:6" ht="12.75">
      <c r="A24" s="212">
        <v>6</v>
      </c>
      <c r="B24" s="212" t="s">
        <v>1583</v>
      </c>
      <c r="C24" s="212" t="s">
        <v>1584</v>
      </c>
    </row>
    <row r="25" spans="1:6" ht="12.75">
      <c r="A25" s="212">
        <v>2</v>
      </c>
      <c r="B25" s="212" t="s">
        <v>1585</v>
      </c>
      <c r="C25" s="212" t="s">
        <v>1586</v>
      </c>
      <c r="D25" s="212" t="s">
        <v>1587</v>
      </c>
      <c r="E25" s="212" t="s">
        <v>1588</v>
      </c>
      <c r="F25" s="212">
        <v>1</v>
      </c>
    </row>
    <row r="26" spans="1:6" ht="12.75">
      <c r="A26" s="212"/>
      <c r="B26" s="212" t="s">
        <v>1589</v>
      </c>
      <c r="C26" s="212" t="s">
        <v>1589</v>
      </c>
      <c r="D26" s="212"/>
      <c r="E26" s="212"/>
      <c r="F26" s="212"/>
    </row>
    <row r="27" spans="1:6" ht="12.75">
      <c r="A27" s="212"/>
      <c r="B27" s="212" t="s">
        <v>1590</v>
      </c>
      <c r="C27" s="212" t="s">
        <v>1591</v>
      </c>
      <c r="D27" s="212"/>
      <c r="E27" s="212" t="s">
        <v>1592</v>
      </c>
      <c r="F27" s="212">
        <v>2</v>
      </c>
    </row>
    <row r="28" spans="1:6" ht="12.75">
      <c r="A28" s="212"/>
      <c r="B28" s="212" t="s">
        <v>1593</v>
      </c>
      <c r="C28" s="212" t="s">
        <v>1593</v>
      </c>
      <c r="D28" s="212"/>
      <c r="E28" s="212"/>
      <c r="F28" s="212"/>
    </row>
    <row r="29" spans="1:6" ht="12.75">
      <c r="A29" s="212">
        <v>4</v>
      </c>
      <c r="B29" s="212" t="s">
        <v>1594</v>
      </c>
      <c r="C29" s="212" t="s">
        <v>1594</v>
      </c>
      <c r="D29" s="212"/>
      <c r="E29" s="212" t="s">
        <v>1595</v>
      </c>
      <c r="F29" s="212">
        <v>3</v>
      </c>
    </row>
    <row r="30" spans="1:6" ht="12.75">
      <c r="A30" s="212"/>
      <c r="B30" s="212" t="s">
        <v>1596</v>
      </c>
      <c r="C30" s="212" t="s">
        <v>1597</v>
      </c>
    </row>
    <row r="31" spans="1:6" ht="12.75">
      <c r="A31" s="212">
        <v>6</v>
      </c>
      <c r="B31" s="212" t="s">
        <v>1598</v>
      </c>
      <c r="C31" s="212" t="s">
        <v>1598</v>
      </c>
      <c r="D31" s="212" t="s">
        <v>1599</v>
      </c>
      <c r="E31" s="212"/>
      <c r="F31" s="212"/>
    </row>
    <row r="32" spans="1:6" ht="12.75">
      <c r="A32" s="212">
        <v>3</v>
      </c>
      <c r="B32" s="212" t="s">
        <v>1600</v>
      </c>
      <c r="C32" s="212" t="s">
        <v>1600</v>
      </c>
      <c r="D32" s="212" t="s">
        <v>1601</v>
      </c>
      <c r="E32" s="212" t="s">
        <v>1602</v>
      </c>
      <c r="F32" s="212">
        <v>9</v>
      </c>
    </row>
    <row r="33" spans="1:6" ht="12.75">
      <c r="A33" s="212">
        <v>5</v>
      </c>
      <c r="B33" s="212" t="s">
        <v>1603</v>
      </c>
      <c r="C33" s="212" t="s">
        <v>1604</v>
      </c>
    </row>
    <row r="34" spans="1:6" ht="12.75">
      <c r="A34" s="212">
        <v>3</v>
      </c>
      <c r="B34" s="212" t="s">
        <v>1605</v>
      </c>
      <c r="C34" s="212" t="s">
        <v>1606</v>
      </c>
      <c r="D34" s="212"/>
      <c r="E34" s="212"/>
      <c r="F34" s="212"/>
    </row>
    <row r="35" spans="1:6" ht="12.75">
      <c r="A35" s="212">
        <v>3</v>
      </c>
      <c r="B35" s="212" t="s">
        <v>1605</v>
      </c>
      <c r="C35" s="212" t="s">
        <v>1607</v>
      </c>
    </row>
    <row r="36" spans="1:6" ht="12.75">
      <c r="A36" s="212">
        <v>3</v>
      </c>
      <c r="B36" s="212" t="s">
        <v>1608</v>
      </c>
      <c r="C36" s="212" t="s">
        <v>1608</v>
      </c>
      <c r="D36" s="212" t="s">
        <v>1609</v>
      </c>
      <c r="E36" s="212" t="s">
        <v>1610</v>
      </c>
      <c r="F36" s="212">
        <v>8</v>
      </c>
    </row>
    <row r="37" spans="1:6" ht="12.75">
      <c r="A37" s="212"/>
      <c r="B37" s="212" t="s">
        <v>1610</v>
      </c>
      <c r="C37" s="212" t="s">
        <v>1610</v>
      </c>
      <c r="D37" s="212"/>
      <c r="E37" s="212"/>
      <c r="F37" s="212"/>
    </row>
    <row r="38" spans="1:6" ht="12.75">
      <c r="A38" s="212">
        <v>3</v>
      </c>
      <c r="B38" s="212" t="s">
        <v>1611</v>
      </c>
      <c r="C38" s="212" t="s">
        <v>1612</v>
      </c>
      <c r="D38" s="212"/>
      <c r="E38" s="212"/>
      <c r="F38" s="212"/>
    </row>
    <row r="39" spans="1:6" ht="12.75">
      <c r="A39" s="212">
        <v>3</v>
      </c>
      <c r="B39" s="212" t="s">
        <v>1613</v>
      </c>
      <c r="C39" s="212" t="s">
        <v>1614</v>
      </c>
      <c r="D39" s="212" t="s">
        <v>1615</v>
      </c>
      <c r="E39" s="212"/>
      <c r="F39" s="212"/>
    </row>
    <row r="40" spans="1:6" ht="12.75">
      <c r="A40" s="212">
        <v>3</v>
      </c>
      <c r="B40" s="212" t="s">
        <v>1616</v>
      </c>
      <c r="C40" s="212" t="s">
        <v>1617</v>
      </c>
      <c r="D40" s="212"/>
      <c r="E40" s="212"/>
      <c r="F40" s="212"/>
    </row>
    <row r="41" spans="1:6" ht="12.75">
      <c r="A41" s="212"/>
      <c r="B41" s="212" t="s">
        <v>1618</v>
      </c>
      <c r="C41" s="212" t="s">
        <v>1619</v>
      </c>
      <c r="D41" s="213"/>
    </row>
    <row r="42" spans="1:6" ht="12.75">
      <c r="A42" s="212"/>
      <c r="B42" s="212" t="s">
        <v>1620</v>
      </c>
      <c r="C42" s="212" t="s">
        <v>1621</v>
      </c>
      <c r="D42" s="213"/>
    </row>
    <row r="43" spans="1:6" ht="12.75">
      <c r="A43" s="212"/>
      <c r="B43" s="212" t="s">
        <v>1622</v>
      </c>
      <c r="C43" s="212" t="s">
        <v>1622</v>
      </c>
    </row>
    <row r="44" spans="1:6" ht="12.75">
      <c r="A44" s="212"/>
      <c r="B44" s="212" t="s">
        <v>1623</v>
      </c>
      <c r="C44" s="212" t="s">
        <v>1624</v>
      </c>
    </row>
    <row r="45" spans="1:6" ht="12.75">
      <c r="A45" s="212">
        <v>6</v>
      </c>
      <c r="B45" s="212" t="s">
        <v>1625</v>
      </c>
      <c r="C45" s="212" t="s">
        <v>1626</v>
      </c>
    </row>
    <row r="46" spans="1:6" ht="12.75">
      <c r="A46" s="212"/>
      <c r="B46" s="212" t="s">
        <v>1627</v>
      </c>
      <c r="C46" s="212" t="s">
        <v>1628</v>
      </c>
    </row>
    <row r="47" spans="1:6" ht="12.75">
      <c r="A47" s="212"/>
      <c r="B47" s="212" t="s">
        <v>1629</v>
      </c>
      <c r="C47" s="212" t="s">
        <v>1610</v>
      </c>
    </row>
    <row r="48" spans="1:6" ht="12.75">
      <c r="A48" s="212"/>
      <c r="B48" s="212" t="s">
        <v>1630</v>
      </c>
      <c r="C48" s="212" t="s">
        <v>1631</v>
      </c>
    </row>
    <row r="49" spans="1:6" ht="12.75">
      <c r="A49" s="212"/>
      <c r="B49" s="212" t="s">
        <v>1632</v>
      </c>
      <c r="C49" s="212" t="s">
        <v>1633</v>
      </c>
    </row>
    <row r="50" spans="1:6" ht="12.75">
      <c r="A50" s="212">
        <v>8</v>
      </c>
      <c r="B50" s="212" t="s">
        <v>1634</v>
      </c>
      <c r="C50" s="212" t="s">
        <v>1635</v>
      </c>
    </row>
    <row r="51" spans="1:6" ht="12.75">
      <c r="A51" s="212"/>
      <c r="B51" s="212" t="s">
        <v>1636</v>
      </c>
      <c r="C51" s="212" t="s">
        <v>1637</v>
      </c>
    </row>
    <row r="52" spans="1:6" ht="12.75">
      <c r="A52" s="212"/>
      <c r="B52" s="212" t="s">
        <v>1638</v>
      </c>
      <c r="C52" s="212" t="s">
        <v>1593</v>
      </c>
    </row>
    <row r="53" spans="1:6" ht="12.75">
      <c r="A53" s="212"/>
      <c r="B53" s="212" t="s">
        <v>1639</v>
      </c>
      <c r="C53" s="212" t="s">
        <v>1640</v>
      </c>
    </row>
    <row r="54" spans="1:6" ht="12.75">
      <c r="A54" s="212"/>
      <c r="B54" s="212" t="s">
        <v>1641</v>
      </c>
      <c r="C54" s="212" t="s">
        <v>1617</v>
      </c>
    </row>
    <row r="55" spans="1:6" ht="12.75">
      <c r="A55" s="212">
        <v>3</v>
      </c>
      <c r="B55" s="212" t="s">
        <v>1642</v>
      </c>
      <c r="C55" s="212" t="s">
        <v>1643</v>
      </c>
      <c r="D55" s="212"/>
      <c r="E55" s="212"/>
      <c r="F55" s="212"/>
    </row>
    <row r="56" spans="1:6" ht="12.75">
      <c r="A56" s="212"/>
      <c r="B56" s="212" t="s">
        <v>1644</v>
      </c>
      <c r="C56" s="212" t="s">
        <v>1645</v>
      </c>
    </row>
    <row r="57" spans="1:6" ht="12.75">
      <c r="A57" s="212"/>
      <c r="B57" s="212" t="s">
        <v>1646</v>
      </c>
      <c r="C57" s="212" t="s">
        <v>1555</v>
      </c>
    </row>
    <row r="58" spans="1:6" ht="12.75">
      <c r="A58" s="212"/>
      <c r="B58" s="212" t="s">
        <v>1647</v>
      </c>
      <c r="C58" s="212" t="s">
        <v>1555</v>
      </c>
    </row>
    <row r="59" spans="1:6" ht="12.75">
      <c r="A59" s="212"/>
      <c r="B59" s="212" t="s">
        <v>1648</v>
      </c>
      <c r="C59" s="212" t="s">
        <v>1594</v>
      </c>
    </row>
    <row r="60" spans="1:6" ht="12.75">
      <c r="A60" s="212"/>
      <c r="B60" s="212" t="s">
        <v>1649</v>
      </c>
      <c r="C60" s="212" t="s">
        <v>1650</v>
      </c>
    </row>
    <row r="61" spans="1:6" ht="12.75">
      <c r="A61" s="212">
        <v>3</v>
      </c>
      <c r="B61" s="212" t="s">
        <v>1651</v>
      </c>
      <c r="C61" s="212" t="s">
        <v>1652</v>
      </c>
      <c r="D61" s="212"/>
      <c r="E61" s="212"/>
      <c r="F61" s="212"/>
    </row>
    <row r="62" spans="1:6" ht="12.75">
      <c r="A62" s="212"/>
      <c r="B62" s="212" t="s">
        <v>1653</v>
      </c>
      <c r="C62" s="212" t="s">
        <v>1652</v>
      </c>
    </row>
    <row r="63" spans="1:6" ht="12.75">
      <c r="A63" s="212"/>
      <c r="B63" s="212" t="s">
        <v>1654</v>
      </c>
      <c r="C63" s="212" t="s">
        <v>1655</v>
      </c>
      <c r="D63" s="212"/>
      <c r="E63" s="212"/>
      <c r="F63" s="212"/>
    </row>
    <row r="64" spans="1:6" ht="12.75">
      <c r="A64" s="212">
        <v>6</v>
      </c>
      <c r="B64" s="214" t="s">
        <v>1656</v>
      </c>
      <c r="C64" s="212" t="s">
        <v>1657</v>
      </c>
      <c r="D64" s="213" t="s">
        <v>1658</v>
      </c>
      <c r="E64" s="213"/>
      <c r="F64" s="213"/>
    </row>
    <row r="65" spans="1:3" ht="12.75">
      <c r="A65" s="212"/>
      <c r="B65" s="212" t="s">
        <v>1659</v>
      </c>
      <c r="C65" s="212" t="s">
        <v>1660</v>
      </c>
    </row>
    <row r="66" spans="1:3" ht="12.75">
      <c r="A66" s="212"/>
      <c r="B66" s="212" t="s">
        <v>1661</v>
      </c>
      <c r="C66" s="212" t="s">
        <v>1662</v>
      </c>
    </row>
    <row r="67" spans="1:3" ht="12.75">
      <c r="A67" s="212"/>
      <c r="B67" s="212" t="s">
        <v>1663</v>
      </c>
      <c r="C67" s="212" t="s">
        <v>1663</v>
      </c>
    </row>
    <row r="68" spans="1:3" ht="12.75">
      <c r="A68" s="212"/>
      <c r="B68" s="212" t="s">
        <v>1664</v>
      </c>
      <c r="C68" s="212" t="s">
        <v>1664</v>
      </c>
    </row>
    <row r="69" spans="1:3" ht="12.75">
      <c r="A69" s="212"/>
      <c r="B69" s="212" t="s">
        <v>1665</v>
      </c>
      <c r="C69" s="212" t="s">
        <v>1666</v>
      </c>
    </row>
    <row r="70" spans="1:3" ht="12.75">
      <c r="A70" s="212"/>
      <c r="B70" s="212"/>
      <c r="C70" s="212"/>
    </row>
    <row r="71" spans="1:3" ht="12.75">
      <c r="A71" s="212"/>
      <c r="B71" s="212"/>
      <c r="C71" s="212"/>
    </row>
    <row r="72" spans="1:3" ht="12.75">
      <c r="A72" s="212"/>
      <c r="B72" s="212"/>
      <c r="C72" s="212"/>
    </row>
    <row r="73" spans="1:3" ht="12.75">
      <c r="A73" s="212"/>
      <c r="B73" s="212"/>
      <c r="C73" s="212"/>
    </row>
    <row r="74" spans="1:3" ht="12.75">
      <c r="A74" s="212"/>
      <c r="B74" s="212"/>
      <c r="C74" s="212"/>
    </row>
    <row r="75" spans="1:3" ht="12.75">
      <c r="A75" s="212"/>
      <c r="B75" s="212"/>
      <c r="C75" s="212"/>
    </row>
    <row r="76" spans="1:3" ht="12.75">
      <c r="A76" s="212"/>
      <c r="B76" s="212"/>
      <c r="C76" s="212"/>
    </row>
    <row r="77" spans="1:3" ht="12.75">
      <c r="A77" s="212"/>
      <c r="B77" s="212"/>
      <c r="C77" s="212"/>
    </row>
    <row r="78" spans="1:3" ht="12.75">
      <c r="A78" s="212"/>
      <c r="B78" s="212"/>
      <c r="C78" s="212"/>
    </row>
    <row r="79" spans="1:3" ht="12.75">
      <c r="A79" s="212"/>
      <c r="B79" s="212"/>
      <c r="C79" s="212"/>
    </row>
    <row r="80" spans="1:3" ht="12.75">
      <c r="A80" s="212"/>
      <c r="B80" s="212"/>
      <c r="C80" s="212"/>
    </row>
    <row r="81" spans="1:3" ht="12.75">
      <c r="A81" s="212"/>
      <c r="B81" s="212"/>
      <c r="C81" s="212"/>
    </row>
    <row r="82" spans="1:3" ht="12.75">
      <c r="A82" s="212"/>
      <c r="B82" s="212"/>
      <c r="C82" s="212"/>
    </row>
    <row r="83" spans="1:3" ht="12.75">
      <c r="A83" s="212"/>
      <c r="B83" s="212"/>
      <c r="C83" s="212"/>
    </row>
    <row r="84" spans="1:3" ht="12.75">
      <c r="A84" s="212"/>
      <c r="B84" s="212"/>
      <c r="C84" s="212"/>
    </row>
    <row r="85" spans="1:3" ht="12.75">
      <c r="A85" s="212"/>
      <c r="B85" s="212"/>
      <c r="C85" s="212"/>
    </row>
    <row r="86" spans="1:3" ht="12.75">
      <c r="A86" s="212"/>
      <c r="B86" s="212"/>
      <c r="C86" s="212"/>
    </row>
    <row r="87" spans="1:3" ht="12.75">
      <c r="A87" s="212"/>
      <c r="B87" s="212"/>
      <c r="C87" s="212"/>
    </row>
    <row r="88" spans="1:3" ht="12.75">
      <c r="A88" s="212"/>
      <c r="B88" s="212"/>
      <c r="C88" s="212"/>
    </row>
    <row r="89" spans="1:3" ht="12.75">
      <c r="A89" s="212"/>
      <c r="B89" s="212"/>
      <c r="C89" s="212"/>
    </row>
    <row r="90" spans="1:3" ht="12.75">
      <c r="A90" s="212"/>
      <c r="B90" s="212"/>
      <c r="C90" s="212"/>
    </row>
    <row r="91" spans="1:3" ht="12.75">
      <c r="A91" s="212"/>
      <c r="B91" s="212"/>
      <c r="C91" s="212"/>
    </row>
    <row r="92" spans="1:3" ht="12.75">
      <c r="A92" s="212"/>
      <c r="B92" s="212"/>
      <c r="C92" s="212"/>
    </row>
    <row r="93" spans="1:3" ht="12.75">
      <c r="A93" s="212"/>
      <c r="B93" s="212"/>
      <c r="C93" s="212"/>
    </row>
    <row r="94" spans="1:3" ht="12.75">
      <c r="A94" s="212"/>
      <c r="B94" s="212"/>
      <c r="C94" s="212"/>
    </row>
    <row r="95" spans="1:3" ht="12.75">
      <c r="A95" s="212"/>
      <c r="B95" s="212"/>
      <c r="C95" s="212"/>
    </row>
    <row r="96" spans="1:3" ht="12.75">
      <c r="A96" s="212"/>
      <c r="B96" s="212"/>
      <c r="C96" s="212"/>
    </row>
    <row r="97" spans="1:3" ht="12.75">
      <c r="A97" s="212"/>
      <c r="B97" s="212"/>
      <c r="C97" s="212"/>
    </row>
    <row r="98" spans="1:3" ht="12.75">
      <c r="A98" s="212"/>
      <c r="B98" s="212"/>
      <c r="C98" s="212"/>
    </row>
    <row r="99" spans="1:3" ht="12.75">
      <c r="A99" s="212"/>
      <c r="B99" s="212"/>
      <c r="C99" s="212"/>
    </row>
    <row r="100" spans="1:3" ht="12.75">
      <c r="A100" s="212"/>
      <c r="B100" s="212"/>
      <c r="C100" s="212"/>
    </row>
    <row r="101" spans="1:3" ht="12.75">
      <c r="A101" s="212"/>
      <c r="B101" s="212"/>
      <c r="C101" s="212"/>
    </row>
    <row r="102" spans="1:3" ht="12.75">
      <c r="A102" s="212"/>
      <c r="B102" s="212"/>
      <c r="C102" s="212"/>
    </row>
    <row r="103" spans="1:3" ht="12.75">
      <c r="A103" s="212"/>
      <c r="B103" s="212"/>
      <c r="C103" s="212"/>
    </row>
    <row r="104" spans="1:3" ht="12.75">
      <c r="A104" s="212"/>
      <c r="B104" s="212"/>
      <c r="C104" s="212"/>
    </row>
    <row r="105" spans="1:3" ht="12.75">
      <c r="A105" s="212"/>
      <c r="B105" s="212"/>
      <c r="C105" s="212"/>
    </row>
    <row r="106" spans="1:3" ht="12.75">
      <c r="A106" s="212"/>
      <c r="B106" s="212"/>
      <c r="C106" s="212"/>
    </row>
    <row r="107" spans="1:3" ht="12.75">
      <c r="A107" s="212"/>
      <c r="B107" s="212"/>
      <c r="C107" s="212"/>
    </row>
    <row r="108" spans="1:3" ht="12.75">
      <c r="A108" s="212"/>
      <c r="B108" s="212"/>
      <c r="C108" s="212"/>
    </row>
    <row r="109" spans="1:3" ht="12.75">
      <c r="A109" s="212"/>
      <c r="B109" s="212"/>
      <c r="C109" s="212"/>
    </row>
    <row r="110" spans="1:3" ht="12.75">
      <c r="A110" s="212"/>
      <c r="B110" s="212"/>
      <c r="C110" s="212"/>
    </row>
    <row r="111" spans="1:3" ht="12.75">
      <c r="A111" s="212"/>
      <c r="B111" s="212"/>
      <c r="C111" s="212"/>
    </row>
    <row r="112" spans="1:3" ht="12.75">
      <c r="A112" s="212"/>
      <c r="B112" s="212"/>
      <c r="C112" s="212"/>
    </row>
    <row r="113" spans="1:3" ht="12.75">
      <c r="A113" s="212"/>
      <c r="B113" s="212"/>
      <c r="C113" s="212"/>
    </row>
    <row r="114" spans="1:3" ht="12.75">
      <c r="A114" s="212"/>
      <c r="B114" s="212"/>
      <c r="C114" s="212"/>
    </row>
    <row r="115" spans="1:3" ht="12.75">
      <c r="A115" s="212"/>
      <c r="B115" s="212"/>
      <c r="C115" s="212"/>
    </row>
    <row r="116" spans="1:3" ht="12.75">
      <c r="A116" s="212"/>
      <c r="B116" s="212"/>
      <c r="C116" s="212"/>
    </row>
    <row r="117" spans="1:3" ht="12.75">
      <c r="A117" s="212"/>
      <c r="B117" s="212"/>
      <c r="C117" s="212"/>
    </row>
    <row r="118" spans="1:3" ht="12.75">
      <c r="A118" s="212"/>
      <c r="B118" s="212"/>
      <c r="C118" s="212"/>
    </row>
    <row r="119" spans="1:3" ht="12.75">
      <c r="A119" s="212"/>
      <c r="B119" s="212"/>
      <c r="C119" s="212"/>
    </row>
    <row r="120" spans="1:3" ht="12.75">
      <c r="A120" s="212"/>
      <c r="B120" s="212"/>
      <c r="C120" s="212"/>
    </row>
  </sheetData>
  <hyperlinks>
    <hyperlink ref="B8" r:id="rId1" xr:uid="{00000000-0004-0000-1000-000000000000}"/>
    <hyperlink ref="B35" r:id="rId2" xr:uid="{00000000-0004-0000-1000-000001000000}"/>
    <hyperlink ref="B46" r:id="rId3" xr:uid="{00000000-0004-0000-1000-000002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G18"/>
  <sheetViews>
    <sheetView workbookViewId="0"/>
  </sheetViews>
  <sheetFormatPr defaultColWidth="14.42578125" defaultRowHeight="15.75" customHeight="1"/>
  <cols>
    <col min="1" max="7" width="22.140625" customWidth="1"/>
  </cols>
  <sheetData>
    <row r="1" spans="1:7" ht="33" customHeight="1"/>
    <row r="2" spans="1:7" ht="33" customHeight="1"/>
    <row r="3" spans="1:7" ht="33" customHeight="1"/>
    <row r="4" spans="1:7" ht="33" customHeight="1"/>
    <row r="5" spans="1:7" ht="33" customHeight="1"/>
    <row r="6" spans="1:7" ht="33" customHeight="1">
      <c r="A6" s="524" t="s">
        <v>1667</v>
      </c>
      <c r="B6" s="499"/>
      <c r="C6" s="499"/>
      <c r="D6" s="499"/>
      <c r="E6" s="499"/>
      <c r="F6" s="499"/>
      <c r="G6" s="499"/>
    </row>
    <row r="7" spans="1:7" ht="33" customHeight="1">
      <c r="A7" s="525" t="s">
        <v>1668</v>
      </c>
      <c r="B7" s="499"/>
      <c r="C7" s="499"/>
      <c r="D7" s="499"/>
      <c r="E7" s="499"/>
      <c r="F7" s="499"/>
      <c r="G7" s="499"/>
    </row>
    <row r="8" spans="1:7" ht="33" customHeight="1"/>
    <row r="9" spans="1:7" ht="33" customHeight="1"/>
    <row r="10" spans="1:7" ht="33" customHeight="1"/>
    <row r="11" spans="1:7" ht="33" customHeight="1"/>
    <row r="12" spans="1:7" ht="33" customHeight="1"/>
    <row r="13" spans="1:7" ht="33" customHeight="1"/>
    <row r="14" spans="1:7" ht="33" customHeight="1"/>
    <row r="15" spans="1:7" ht="33" customHeight="1"/>
    <row r="16" spans="1:7" ht="33" customHeight="1"/>
    <row r="17" ht="33" customHeight="1"/>
    <row r="18" ht="33" customHeight="1"/>
  </sheetData>
  <mergeCells count="2">
    <mergeCell ref="A6:G6"/>
    <mergeCell ref="A7:G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FF00"/>
    <outlinePr summaryBelow="0" summaryRight="0"/>
  </sheetPr>
  <dimension ref="A1:W524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ColWidth="14.42578125" defaultRowHeight="15.75" customHeight="1"/>
  <cols>
    <col min="1" max="1" width="8.42578125" customWidth="1"/>
    <col min="2" max="2" width="13.5703125" customWidth="1"/>
    <col min="3" max="3" width="13.28515625" customWidth="1"/>
    <col min="4" max="4" width="9.7109375" customWidth="1"/>
    <col min="5" max="5" width="65.42578125" customWidth="1"/>
    <col min="6" max="6" width="11.5703125" customWidth="1"/>
    <col min="7" max="10" width="13.42578125" customWidth="1"/>
    <col min="11" max="21" width="13.42578125" hidden="1" customWidth="1"/>
    <col min="22" max="23" width="6.5703125" hidden="1" customWidth="1"/>
  </cols>
  <sheetData>
    <row r="1" spans="1:23" ht="27" customHeight="1">
      <c r="A1" s="215" t="str">
        <f>LEFT(D1, SEARCH("",D1,2))</f>
        <v>38</v>
      </c>
      <c r="B1" s="216"/>
      <c r="C1" s="217" t="s">
        <v>1669</v>
      </c>
      <c r="D1" s="218">
        <v>3825</v>
      </c>
      <c r="E1" s="220" t="str">
        <f>"( "&amp;VLOOKUP(A1,'เลขSpec.2 ตัวแรก'!$A$2:$B$100,2,FALSE)&amp;" )"</f>
        <v>( หมวด 38 บริภัณฑ์การก่อสร้าง การทำเหมืองแร่ การขุดและการซ่อมบำรุงถนน )</v>
      </c>
      <c r="F1" s="222"/>
      <c r="H1" s="223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6"/>
      <c r="W1" s="226"/>
    </row>
    <row r="2" spans="1:23" ht="25.5">
      <c r="A2" s="227" t="s">
        <v>1464</v>
      </c>
      <c r="B2" s="227" t="s">
        <v>2</v>
      </c>
      <c r="C2" s="227" t="s">
        <v>3</v>
      </c>
      <c r="D2" s="227" t="s">
        <v>1670</v>
      </c>
      <c r="E2" s="227" t="s">
        <v>5</v>
      </c>
      <c r="F2" s="228"/>
      <c r="G2" s="230" t="s">
        <v>1671</v>
      </c>
      <c r="H2" s="230" t="s">
        <v>7</v>
      </c>
      <c r="I2" s="230" t="s">
        <v>6</v>
      </c>
      <c r="J2" s="230" t="s">
        <v>9</v>
      </c>
      <c r="K2" s="230" t="s">
        <v>11</v>
      </c>
      <c r="L2" s="230" t="s">
        <v>1682</v>
      </c>
      <c r="M2" s="230" t="s">
        <v>18</v>
      </c>
      <c r="N2" s="230" t="s">
        <v>19</v>
      </c>
      <c r="O2" s="230" t="s">
        <v>1683</v>
      </c>
      <c r="P2" s="230" t="s">
        <v>1685</v>
      </c>
      <c r="Q2" s="231"/>
      <c r="R2" s="230" t="s">
        <v>1687</v>
      </c>
      <c r="S2" s="230" t="s">
        <v>1685</v>
      </c>
      <c r="T2" s="230" t="s">
        <v>1688</v>
      </c>
      <c r="U2" s="230" t="s">
        <v>1685</v>
      </c>
      <c r="V2" s="232" t="s">
        <v>1689</v>
      </c>
      <c r="W2" s="232" t="s">
        <v>1685</v>
      </c>
    </row>
    <row r="3" spans="1:23" ht="12.75">
      <c r="A3" s="233" t="str">
        <f ca="1">IFERROR(__xludf.DUMMYFUNCTION("FILTER(#REF!,#REF!=D1)"),"#N/A")</f>
        <v>#N/A</v>
      </c>
      <c r="B3" s="233"/>
      <c r="C3" s="233"/>
      <c r="D3" s="233"/>
      <c r="E3" s="234"/>
      <c r="F3" s="233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6"/>
      <c r="W3" s="236"/>
    </row>
    <row r="4" spans="1:23" ht="12.75">
      <c r="A4" s="237"/>
      <c r="B4" s="237"/>
      <c r="C4" s="237"/>
      <c r="D4" s="237"/>
      <c r="E4" s="238"/>
      <c r="F4" s="237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40"/>
      <c r="W4" s="240"/>
    </row>
    <row r="5" spans="1:23" ht="12.75">
      <c r="A5" s="233"/>
      <c r="B5" s="233"/>
      <c r="C5" s="233"/>
      <c r="D5" s="233"/>
      <c r="E5" s="234"/>
      <c r="F5" s="233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6"/>
      <c r="W5" s="236"/>
    </row>
    <row r="6" spans="1:23" ht="12.75">
      <c r="A6" s="237"/>
      <c r="B6" s="237"/>
      <c r="C6" s="239"/>
      <c r="D6" s="237"/>
      <c r="E6" s="238"/>
      <c r="F6" s="241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40"/>
      <c r="W6" s="240"/>
    </row>
    <row r="7" spans="1:23" ht="12.75">
      <c r="A7" s="233"/>
      <c r="B7" s="233"/>
      <c r="C7" s="233"/>
      <c r="D7" s="233"/>
      <c r="E7" s="234"/>
      <c r="F7" s="233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6"/>
      <c r="W7" s="236"/>
    </row>
    <row r="8" spans="1:23" ht="12.75">
      <c r="A8" s="237"/>
      <c r="B8" s="237"/>
      <c r="C8" s="239"/>
      <c r="D8" s="237"/>
      <c r="E8" s="238"/>
      <c r="F8" s="241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40"/>
      <c r="W8" s="240"/>
    </row>
    <row r="9" spans="1:23" ht="12.75">
      <c r="A9" s="233"/>
      <c r="B9" s="233"/>
      <c r="C9" s="233"/>
      <c r="D9" s="233"/>
      <c r="E9" s="234"/>
      <c r="F9" s="233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6"/>
      <c r="W9" s="236"/>
    </row>
    <row r="10" spans="1:23" ht="12.75">
      <c r="A10" s="237"/>
      <c r="B10" s="237"/>
      <c r="C10" s="239"/>
      <c r="D10" s="237"/>
      <c r="E10" s="238"/>
      <c r="F10" s="241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40"/>
      <c r="W10" s="240"/>
    </row>
    <row r="11" spans="1:23" ht="12.75">
      <c r="A11" s="233"/>
      <c r="B11" s="233"/>
      <c r="C11" s="233"/>
      <c r="D11" s="233"/>
      <c r="E11" s="234"/>
      <c r="F11" s="233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6"/>
      <c r="W11" s="236"/>
    </row>
    <row r="12" spans="1:23" ht="12.75">
      <c r="A12" s="237"/>
      <c r="B12" s="237"/>
      <c r="C12" s="239"/>
      <c r="D12" s="237"/>
      <c r="E12" s="238"/>
      <c r="F12" s="241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40"/>
      <c r="W12" s="240"/>
    </row>
    <row r="13" spans="1:23" ht="12.75">
      <c r="A13" s="233"/>
      <c r="B13" s="233"/>
      <c r="C13" s="233"/>
      <c r="D13" s="233"/>
      <c r="E13" s="234"/>
      <c r="F13" s="233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6"/>
      <c r="W13" s="236"/>
    </row>
    <row r="14" spans="1:23" ht="12.75">
      <c r="A14" s="237"/>
      <c r="B14" s="237"/>
      <c r="C14" s="239"/>
      <c r="D14" s="237"/>
      <c r="E14" s="238"/>
      <c r="F14" s="241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40"/>
      <c r="W14" s="240"/>
    </row>
    <row r="15" spans="1:23" ht="12.75">
      <c r="A15" s="233"/>
      <c r="B15" s="233"/>
      <c r="C15" s="233"/>
      <c r="D15" s="233"/>
      <c r="E15" s="234"/>
      <c r="F15" s="233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6"/>
      <c r="W15" s="236"/>
    </row>
    <row r="16" spans="1:23" ht="12.75">
      <c r="A16" s="237"/>
      <c r="B16" s="237"/>
      <c r="C16" s="239"/>
      <c r="D16" s="237"/>
      <c r="E16" s="238"/>
      <c r="F16" s="241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40"/>
      <c r="W16" s="240"/>
    </row>
    <row r="17" spans="1:23" ht="12.75">
      <c r="A17" s="233"/>
      <c r="B17" s="233"/>
      <c r="C17" s="233"/>
      <c r="D17" s="233"/>
      <c r="E17" s="234"/>
      <c r="F17" s="233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6"/>
      <c r="W17" s="236"/>
    </row>
    <row r="18" spans="1:23" ht="12.75">
      <c r="A18" s="237"/>
      <c r="B18" s="237"/>
      <c r="C18" s="239"/>
      <c r="D18" s="237"/>
      <c r="E18" s="238"/>
      <c r="F18" s="241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40"/>
      <c r="W18" s="240"/>
    </row>
    <row r="19" spans="1:23" ht="12.75">
      <c r="A19" s="233"/>
      <c r="B19" s="233"/>
      <c r="C19" s="233"/>
      <c r="D19" s="233"/>
      <c r="E19" s="234"/>
      <c r="F19" s="242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6"/>
      <c r="W19" s="236"/>
    </row>
    <row r="20" spans="1:23" ht="12.75">
      <c r="A20" s="237"/>
      <c r="B20" s="237"/>
      <c r="C20" s="239"/>
      <c r="D20" s="237"/>
      <c r="E20" s="238"/>
      <c r="F20" s="241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40"/>
      <c r="W20" s="240"/>
    </row>
    <row r="21" spans="1:23" ht="12.75">
      <c r="A21" s="243"/>
      <c r="B21" s="243"/>
      <c r="C21" s="244"/>
      <c r="D21" s="243"/>
      <c r="E21" s="245"/>
      <c r="F21" s="246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7"/>
      <c r="W21" s="247"/>
    </row>
    <row r="22" spans="1:23" ht="12.75">
      <c r="A22" s="243"/>
      <c r="B22" s="243"/>
      <c r="C22" s="244"/>
      <c r="D22" s="243"/>
      <c r="E22" s="245"/>
      <c r="F22" s="246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7"/>
      <c r="W22" s="247"/>
    </row>
    <row r="23" spans="1:23" ht="12.75">
      <c r="A23" s="243"/>
      <c r="B23" s="243"/>
      <c r="C23" s="244"/>
      <c r="D23" s="243"/>
      <c r="E23" s="245"/>
      <c r="F23" s="246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7"/>
      <c r="W23" s="247"/>
    </row>
    <row r="24" spans="1:23" ht="12.75">
      <c r="A24" s="243"/>
      <c r="B24" s="243"/>
      <c r="C24" s="244"/>
      <c r="D24" s="243"/>
      <c r="E24" s="245"/>
      <c r="F24" s="246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7"/>
      <c r="W24" s="247"/>
    </row>
    <row r="25" spans="1:23" ht="12.75">
      <c r="A25" s="243"/>
      <c r="B25" s="243"/>
      <c r="C25" s="244"/>
      <c r="D25" s="243"/>
      <c r="E25" s="245"/>
      <c r="F25" s="246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7"/>
      <c r="W25" s="247"/>
    </row>
    <row r="26" spans="1:23" ht="12.75">
      <c r="A26" s="243"/>
      <c r="B26" s="243"/>
      <c r="C26" s="244"/>
      <c r="D26" s="243"/>
      <c r="E26" s="245"/>
      <c r="F26" s="246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7"/>
      <c r="W26" s="247"/>
    </row>
    <row r="27" spans="1:23" ht="12.75">
      <c r="A27" s="243"/>
      <c r="B27" s="243"/>
      <c r="C27" s="244"/>
      <c r="D27" s="243"/>
      <c r="E27" s="245"/>
      <c r="F27" s="246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7"/>
      <c r="W27" s="247"/>
    </row>
    <row r="28" spans="1:23" ht="12.75">
      <c r="A28" s="243"/>
      <c r="B28" s="243"/>
      <c r="C28" s="244"/>
      <c r="D28" s="243"/>
      <c r="E28" s="245"/>
      <c r="F28" s="246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7"/>
      <c r="W28" s="247"/>
    </row>
    <row r="29" spans="1:23" ht="12.75">
      <c r="A29" s="243"/>
      <c r="B29" s="243"/>
      <c r="C29" s="244"/>
      <c r="D29" s="243"/>
      <c r="E29" s="245"/>
      <c r="F29" s="246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7"/>
      <c r="W29" s="247"/>
    </row>
    <row r="30" spans="1:23" ht="12.75">
      <c r="A30" s="243"/>
      <c r="B30" s="243"/>
      <c r="C30" s="244"/>
      <c r="D30" s="243"/>
      <c r="E30" s="245"/>
      <c r="F30" s="246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7"/>
      <c r="W30" s="247"/>
    </row>
    <row r="31" spans="1:23" ht="12.75">
      <c r="A31" s="243"/>
      <c r="B31" s="243"/>
      <c r="C31" s="244"/>
      <c r="D31" s="243"/>
      <c r="E31" s="245"/>
      <c r="F31" s="246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7"/>
      <c r="W31" s="247"/>
    </row>
    <row r="32" spans="1:23" ht="12.75">
      <c r="A32" s="243"/>
      <c r="B32" s="243"/>
      <c r="C32" s="244"/>
      <c r="D32" s="243"/>
      <c r="E32" s="245"/>
      <c r="F32" s="246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7"/>
      <c r="W32" s="247"/>
    </row>
    <row r="33" spans="1:23" ht="12.75">
      <c r="A33" s="243"/>
      <c r="B33" s="243"/>
      <c r="C33" s="244"/>
      <c r="D33" s="243"/>
      <c r="E33" s="245"/>
      <c r="F33" s="246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7"/>
      <c r="W33" s="247"/>
    </row>
    <row r="34" spans="1:23" ht="12.75">
      <c r="A34" s="243"/>
      <c r="B34" s="243"/>
      <c r="C34" s="244"/>
      <c r="D34" s="243"/>
      <c r="E34" s="245"/>
      <c r="F34" s="246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7"/>
      <c r="W34" s="247"/>
    </row>
    <row r="35" spans="1:23" ht="12.75">
      <c r="A35" s="243"/>
      <c r="B35" s="243"/>
      <c r="C35" s="244"/>
      <c r="D35" s="243"/>
      <c r="E35" s="245"/>
      <c r="F35" s="246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7"/>
      <c r="W35" s="247"/>
    </row>
    <row r="36" spans="1:23" ht="12.75">
      <c r="A36" s="243"/>
      <c r="B36" s="243"/>
      <c r="C36" s="244"/>
      <c r="D36" s="243"/>
      <c r="E36" s="245"/>
      <c r="F36" s="246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7"/>
      <c r="W36" s="247"/>
    </row>
    <row r="37" spans="1:23" ht="12.75">
      <c r="A37" s="243"/>
      <c r="B37" s="243"/>
      <c r="C37" s="244"/>
      <c r="D37" s="243"/>
      <c r="E37" s="245"/>
      <c r="F37" s="246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7"/>
      <c r="W37" s="247"/>
    </row>
    <row r="38" spans="1:23" ht="12.75">
      <c r="A38" s="243"/>
      <c r="B38" s="243"/>
      <c r="C38" s="244"/>
      <c r="D38" s="243"/>
      <c r="E38" s="245"/>
      <c r="F38" s="246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7"/>
      <c r="W38" s="247"/>
    </row>
    <row r="39" spans="1:23" ht="12.75">
      <c r="A39" s="243"/>
      <c r="B39" s="243"/>
      <c r="C39" s="244"/>
      <c r="D39" s="243"/>
      <c r="E39" s="245"/>
      <c r="F39" s="246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7"/>
      <c r="W39" s="247"/>
    </row>
    <row r="40" spans="1:23" ht="12.75">
      <c r="A40" s="243"/>
      <c r="B40" s="243"/>
      <c r="C40" s="244"/>
      <c r="D40" s="243"/>
      <c r="E40" s="245"/>
      <c r="F40" s="246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7"/>
      <c r="W40" s="247"/>
    </row>
    <row r="41" spans="1:23" ht="12.75">
      <c r="A41" s="243"/>
      <c r="B41" s="243"/>
      <c r="C41" s="244"/>
      <c r="D41" s="243"/>
      <c r="E41" s="245"/>
      <c r="F41" s="246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7"/>
      <c r="W41" s="247"/>
    </row>
    <row r="42" spans="1:23" ht="12.75">
      <c r="A42" s="243"/>
      <c r="B42" s="243"/>
      <c r="C42" s="244"/>
      <c r="D42" s="243"/>
      <c r="E42" s="245"/>
      <c r="F42" s="246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7"/>
      <c r="W42" s="247"/>
    </row>
    <row r="43" spans="1:23" ht="12.75">
      <c r="A43" s="243"/>
      <c r="B43" s="243"/>
      <c r="C43" s="244"/>
      <c r="D43" s="243"/>
      <c r="E43" s="245"/>
      <c r="F43" s="246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7"/>
      <c r="W43" s="247"/>
    </row>
    <row r="44" spans="1:23" ht="12.75">
      <c r="A44" s="243"/>
      <c r="B44" s="243"/>
      <c r="C44" s="244"/>
      <c r="D44" s="243"/>
      <c r="E44" s="245"/>
      <c r="F44" s="246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7"/>
      <c r="W44" s="247"/>
    </row>
    <row r="45" spans="1:23" ht="12.75">
      <c r="A45" s="243"/>
      <c r="B45" s="243"/>
      <c r="C45" s="244"/>
      <c r="D45" s="243"/>
      <c r="E45" s="245"/>
      <c r="F45" s="246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7"/>
      <c r="W45" s="247"/>
    </row>
    <row r="46" spans="1:23" ht="12.75">
      <c r="A46" s="243"/>
      <c r="B46" s="243"/>
      <c r="C46" s="244"/>
      <c r="D46" s="243"/>
      <c r="E46" s="245"/>
      <c r="F46" s="246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7"/>
      <c r="W46" s="247"/>
    </row>
    <row r="47" spans="1:23" ht="12.75">
      <c r="A47" s="243"/>
      <c r="B47" s="243"/>
      <c r="C47" s="244"/>
      <c r="D47" s="243"/>
      <c r="E47" s="245"/>
      <c r="F47" s="246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7"/>
      <c r="W47" s="247"/>
    </row>
    <row r="48" spans="1:23" ht="12.75">
      <c r="A48" s="243"/>
      <c r="B48" s="243"/>
      <c r="C48" s="244"/>
      <c r="D48" s="243"/>
      <c r="E48" s="245"/>
      <c r="F48" s="246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7"/>
      <c r="W48" s="247"/>
    </row>
    <row r="49" spans="1:23" ht="12.75">
      <c r="A49" s="243"/>
      <c r="B49" s="243"/>
      <c r="C49" s="244"/>
      <c r="D49" s="243"/>
      <c r="E49" s="245"/>
      <c r="F49" s="246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7"/>
      <c r="W49" s="247"/>
    </row>
    <row r="50" spans="1:23" ht="12.75">
      <c r="A50" s="243"/>
      <c r="B50" s="243"/>
      <c r="C50" s="244"/>
      <c r="D50" s="243"/>
      <c r="E50" s="245"/>
      <c r="F50" s="246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7"/>
      <c r="W50" s="247"/>
    </row>
    <row r="51" spans="1:23" ht="12.75">
      <c r="A51" s="243"/>
      <c r="B51" s="243"/>
      <c r="C51" s="244"/>
      <c r="D51" s="243"/>
      <c r="E51" s="245"/>
      <c r="F51" s="246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7"/>
      <c r="W51" s="247"/>
    </row>
    <row r="52" spans="1:23" ht="12.75">
      <c r="A52" s="243"/>
      <c r="B52" s="243"/>
      <c r="C52" s="244"/>
      <c r="D52" s="243"/>
      <c r="E52" s="245"/>
      <c r="F52" s="246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7"/>
      <c r="W52" s="247"/>
    </row>
    <row r="53" spans="1:23" ht="12.75">
      <c r="A53" s="243"/>
      <c r="B53" s="243"/>
      <c r="C53" s="244"/>
      <c r="D53" s="243"/>
      <c r="E53" s="245"/>
      <c r="F53" s="246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7"/>
      <c r="W53" s="247"/>
    </row>
    <row r="54" spans="1:23" ht="12.75">
      <c r="A54" s="243"/>
      <c r="B54" s="243"/>
      <c r="C54" s="244"/>
      <c r="D54" s="243"/>
      <c r="E54" s="245"/>
      <c r="F54" s="246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7"/>
      <c r="W54" s="247"/>
    </row>
    <row r="55" spans="1:23" ht="12.75">
      <c r="A55" s="243"/>
      <c r="B55" s="243"/>
      <c r="C55" s="244"/>
      <c r="D55" s="243"/>
      <c r="E55" s="245"/>
      <c r="F55" s="246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7"/>
      <c r="W55" s="247"/>
    </row>
    <row r="56" spans="1:23" ht="12.75">
      <c r="A56" s="243"/>
      <c r="B56" s="243"/>
      <c r="C56" s="244"/>
      <c r="D56" s="243"/>
      <c r="E56" s="245"/>
      <c r="F56" s="246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7"/>
      <c r="W56" s="247"/>
    </row>
    <row r="57" spans="1:23" ht="12.75">
      <c r="A57" s="243"/>
      <c r="B57" s="243"/>
      <c r="C57" s="244"/>
      <c r="D57" s="243"/>
      <c r="E57" s="245"/>
      <c r="F57" s="246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7"/>
      <c r="W57" s="247"/>
    </row>
    <row r="58" spans="1:23" ht="12.75">
      <c r="A58" s="243"/>
      <c r="B58" s="243"/>
      <c r="C58" s="244"/>
      <c r="D58" s="243"/>
      <c r="E58" s="245"/>
      <c r="F58" s="246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7"/>
      <c r="W58" s="247"/>
    </row>
    <row r="59" spans="1:23" ht="12.75">
      <c r="A59" s="243"/>
      <c r="B59" s="243"/>
      <c r="C59" s="244"/>
      <c r="D59" s="243"/>
      <c r="E59" s="245"/>
      <c r="F59" s="246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7"/>
      <c r="W59" s="247"/>
    </row>
    <row r="60" spans="1:23" ht="12.75">
      <c r="A60" s="243"/>
      <c r="B60" s="243"/>
      <c r="C60" s="244"/>
      <c r="D60" s="243"/>
      <c r="E60" s="245"/>
      <c r="F60" s="246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7"/>
      <c r="W60" s="247"/>
    </row>
    <row r="61" spans="1:23" ht="12.75">
      <c r="A61" s="243"/>
      <c r="B61" s="243"/>
      <c r="C61" s="244"/>
      <c r="D61" s="243"/>
      <c r="E61" s="245"/>
      <c r="F61" s="246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7"/>
      <c r="W61" s="247"/>
    </row>
    <row r="62" spans="1:23" ht="12.75">
      <c r="A62" s="243"/>
      <c r="B62" s="243"/>
      <c r="C62" s="244"/>
      <c r="D62" s="243"/>
      <c r="E62" s="245"/>
      <c r="F62" s="246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7"/>
      <c r="W62" s="247"/>
    </row>
    <row r="63" spans="1:23" ht="12.75">
      <c r="A63" s="243"/>
      <c r="B63" s="243"/>
      <c r="C63" s="244"/>
      <c r="D63" s="243"/>
      <c r="E63" s="245"/>
      <c r="F63" s="246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7"/>
      <c r="W63" s="247"/>
    </row>
    <row r="64" spans="1:23" ht="12.75">
      <c r="A64" s="243"/>
      <c r="B64" s="243"/>
      <c r="C64" s="244"/>
      <c r="D64" s="243"/>
      <c r="E64" s="245"/>
      <c r="F64" s="246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7"/>
      <c r="W64" s="247"/>
    </row>
    <row r="65" spans="1:23" ht="12.75">
      <c r="A65" s="243"/>
      <c r="B65" s="243"/>
      <c r="C65" s="244"/>
      <c r="D65" s="243"/>
      <c r="E65" s="245"/>
      <c r="F65" s="246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7"/>
      <c r="W65" s="247"/>
    </row>
    <row r="66" spans="1:23" ht="12.75">
      <c r="A66" s="243"/>
      <c r="B66" s="243"/>
      <c r="C66" s="244"/>
      <c r="D66" s="243"/>
      <c r="E66" s="245"/>
      <c r="F66" s="246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7"/>
      <c r="W66" s="247"/>
    </row>
    <row r="67" spans="1:23" ht="12.75">
      <c r="A67" s="243"/>
      <c r="B67" s="243"/>
      <c r="C67" s="244"/>
      <c r="D67" s="243"/>
      <c r="E67" s="245"/>
      <c r="F67" s="246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7"/>
      <c r="W67" s="247"/>
    </row>
    <row r="68" spans="1:23" ht="12.75">
      <c r="A68" s="243"/>
      <c r="B68" s="243"/>
      <c r="C68" s="244"/>
      <c r="D68" s="243"/>
      <c r="E68" s="245"/>
      <c r="F68" s="246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7"/>
      <c r="W68" s="247"/>
    </row>
    <row r="69" spans="1:23" ht="12.75">
      <c r="A69" s="243"/>
      <c r="B69" s="243"/>
      <c r="C69" s="244"/>
      <c r="D69" s="243"/>
      <c r="E69" s="245"/>
      <c r="F69" s="246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7"/>
      <c r="W69" s="247"/>
    </row>
    <row r="70" spans="1:23" ht="12.75">
      <c r="A70" s="243"/>
      <c r="B70" s="243"/>
      <c r="C70" s="244"/>
      <c r="D70" s="243"/>
      <c r="E70" s="245"/>
      <c r="F70" s="246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7"/>
      <c r="W70" s="247"/>
    </row>
    <row r="71" spans="1:23" ht="12.75">
      <c r="A71" s="243"/>
      <c r="B71" s="243"/>
      <c r="C71" s="244"/>
      <c r="D71" s="243"/>
      <c r="E71" s="245"/>
      <c r="F71" s="246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7"/>
      <c r="W71" s="247"/>
    </row>
    <row r="72" spans="1:23" ht="12.75">
      <c r="A72" s="243"/>
      <c r="B72" s="243"/>
      <c r="C72" s="244"/>
      <c r="D72" s="243"/>
      <c r="E72" s="245"/>
      <c r="F72" s="246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7"/>
      <c r="W72" s="247"/>
    </row>
    <row r="73" spans="1:23" ht="12.75">
      <c r="A73" s="243"/>
      <c r="B73" s="243"/>
      <c r="C73" s="244"/>
      <c r="D73" s="243"/>
      <c r="E73" s="245"/>
      <c r="F73" s="246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7"/>
      <c r="W73" s="247"/>
    </row>
    <row r="74" spans="1:23" ht="12.75">
      <c r="A74" s="243"/>
      <c r="B74" s="243"/>
      <c r="C74" s="244"/>
      <c r="D74" s="243"/>
      <c r="E74" s="245"/>
      <c r="F74" s="246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7"/>
      <c r="W74" s="247"/>
    </row>
    <row r="75" spans="1:23" ht="12.75">
      <c r="A75" s="243"/>
      <c r="B75" s="243"/>
      <c r="C75" s="244"/>
      <c r="D75" s="243"/>
      <c r="E75" s="245"/>
      <c r="F75" s="246"/>
      <c r="G75" s="244"/>
      <c r="H75" s="244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244"/>
      <c r="V75" s="247"/>
      <c r="W75" s="247"/>
    </row>
    <row r="76" spans="1:23" ht="12.75">
      <c r="A76" s="243"/>
      <c r="B76" s="243"/>
      <c r="C76" s="244"/>
      <c r="D76" s="243"/>
      <c r="E76" s="245"/>
      <c r="F76" s="246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7"/>
      <c r="W76" s="247"/>
    </row>
    <row r="77" spans="1:23" ht="12.75">
      <c r="A77" s="243"/>
      <c r="B77" s="243"/>
      <c r="C77" s="244"/>
      <c r="D77" s="243"/>
      <c r="E77" s="245"/>
      <c r="F77" s="246"/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7"/>
      <c r="W77" s="247"/>
    </row>
    <row r="78" spans="1:23" ht="12.75">
      <c r="A78" s="243"/>
      <c r="B78" s="243"/>
      <c r="C78" s="244"/>
      <c r="D78" s="243"/>
      <c r="E78" s="245"/>
      <c r="F78" s="246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7"/>
      <c r="W78" s="247"/>
    </row>
    <row r="79" spans="1:23" ht="12.75">
      <c r="A79" s="243"/>
      <c r="B79" s="243"/>
      <c r="C79" s="244"/>
      <c r="D79" s="243"/>
      <c r="E79" s="245"/>
      <c r="F79" s="246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7"/>
      <c r="W79" s="247"/>
    </row>
    <row r="80" spans="1:23" ht="12.75">
      <c r="A80" s="243"/>
      <c r="B80" s="243"/>
      <c r="C80" s="244"/>
      <c r="D80" s="243"/>
      <c r="E80" s="245"/>
      <c r="F80" s="246"/>
      <c r="G80" s="244"/>
      <c r="H80" s="244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7"/>
      <c r="W80" s="247"/>
    </row>
    <row r="81" spans="1:23" ht="12.75">
      <c r="A81" s="243"/>
      <c r="B81" s="243"/>
      <c r="C81" s="244"/>
      <c r="D81" s="243"/>
      <c r="E81" s="245"/>
      <c r="F81" s="246"/>
      <c r="G81" s="244"/>
      <c r="H81" s="244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7"/>
      <c r="W81" s="247"/>
    </row>
    <row r="82" spans="1:23" ht="12.75">
      <c r="A82" s="243"/>
      <c r="B82" s="243"/>
      <c r="C82" s="244"/>
      <c r="D82" s="243"/>
      <c r="E82" s="245"/>
      <c r="F82" s="246"/>
      <c r="G82" s="244"/>
      <c r="H82" s="244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7"/>
      <c r="W82" s="247"/>
    </row>
    <row r="83" spans="1:23" ht="12.75">
      <c r="A83" s="243"/>
      <c r="B83" s="243"/>
      <c r="C83" s="244"/>
      <c r="D83" s="243"/>
      <c r="E83" s="245"/>
      <c r="F83" s="246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7"/>
      <c r="W83" s="247"/>
    </row>
    <row r="84" spans="1:23" ht="12.75">
      <c r="A84" s="243"/>
      <c r="B84" s="243"/>
      <c r="C84" s="244"/>
      <c r="D84" s="243"/>
      <c r="E84" s="245"/>
      <c r="F84" s="246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7"/>
      <c r="W84" s="247"/>
    </row>
    <row r="85" spans="1:23" ht="12.75">
      <c r="A85" s="243"/>
      <c r="B85" s="243"/>
      <c r="C85" s="244"/>
      <c r="D85" s="243"/>
      <c r="E85" s="245"/>
      <c r="F85" s="246"/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7"/>
      <c r="W85" s="247"/>
    </row>
    <row r="86" spans="1:23" ht="12.75">
      <c r="A86" s="243"/>
      <c r="B86" s="243"/>
      <c r="C86" s="244"/>
      <c r="D86" s="243"/>
      <c r="E86" s="245"/>
      <c r="F86" s="246"/>
      <c r="G86" s="244"/>
      <c r="H86" s="244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7"/>
      <c r="W86" s="247"/>
    </row>
    <row r="87" spans="1:23" ht="12.75">
      <c r="A87" s="243"/>
      <c r="B87" s="243"/>
      <c r="C87" s="244"/>
      <c r="D87" s="243"/>
      <c r="E87" s="245"/>
      <c r="F87" s="246"/>
      <c r="G87" s="244"/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7"/>
      <c r="W87" s="247"/>
    </row>
    <row r="88" spans="1:23" ht="12.75">
      <c r="A88" s="243"/>
      <c r="B88" s="243"/>
      <c r="C88" s="244"/>
      <c r="D88" s="243"/>
      <c r="E88" s="245"/>
      <c r="F88" s="246"/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7"/>
      <c r="W88" s="247"/>
    </row>
    <row r="89" spans="1:23" ht="12.75">
      <c r="A89" s="243"/>
      <c r="B89" s="243"/>
      <c r="C89" s="244"/>
      <c r="D89" s="243"/>
      <c r="E89" s="245"/>
      <c r="F89" s="246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7"/>
      <c r="W89" s="247"/>
    </row>
    <row r="90" spans="1:23" ht="12.75">
      <c r="A90" s="243"/>
      <c r="B90" s="243"/>
      <c r="C90" s="244"/>
      <c r="D90" s="243"/>
      <c r="E90" s="245"/>
      <c r="F90" s="246"/>
      <c r="G90" s="244"/>
      <c r="H90" s="244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7"/>
      <c r="W90" s="247"/>
    </row>
    <row r="91" spans="1:23" ht="12.75">
      <c r="A91" s="243"/>
      <c r="B91" s="243"/>
      <c r="C91" s="244"/>
      <c r="D91" s="243"/>
      <c r="E91" s="245"/>
      <c r="F91" s="246"/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7"/>
      <c r="W91" s="247"/>
    </row>
    <row r="92" spans="1:23" ht="12.75">
      <c r="A92" s="243"/>
      <c r="B92" s="243"/>
      <c r="C92" s="244"/>
      <c r="D92" s="243"/>
      <c r="E92" s="245"/>
      <c r="F92" s="246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7"/>
      <c r="W92" s="247"/>
    </row>
    <row r="93" spans="1:23" ht="12.75">
      <c r="A93" s="243"/>
      <c r="B93" s="243"/>
      <c r="C93" s="244"/>
      <c r="D93" s="243"/>
      <c r="E93" s="245"/>
      <c r="F93" s="246"/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7"/>
      <c r="W93" s="247"/>
    </row>
    <row r="94" spans="1:23" ht="12.75">
      <c r="A94" s="243"/>
      <c r="B94" s="243"/>
      <c r="C94" s="244"/>
      <c r="D94" s="243"/>
      <c r="E94" s="245"/>
      <c r="F94" s="246"/>
      <c r="G94" s="244"/>
      <c r="H94" s="244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7"/>
      <c r="W94" s="247"/>
    </row>
    <row r="95" spans="1:23" ht="12.75">
      <c r="A95" s="243"/>
      <c r="B95" s="243"/>
      <c r="C95" s="244"/>
      <c r="D95" s="243"/>
      <c r="E95" s="245"/>
      <c r="F95" s="246"/>
      <c r="G95" s="244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7"/>
      <c r="W95" s="247"/>
    </row>
    <row r="96" spans="1:23" ht="12.75">
      <c r="A96" s="243"/>
      <c r="B96" s="243"/>
      <c r="C96" s="244"/>
      <c r="D96" s="243"/>
      <c r="E96" s="245"/>
      <c r="F96" s="246"/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7"/>
      <c r="W96" s="247"/>
    </row>
    <row r="97" spans="1:23" ht="12.75">
      <c r="A97" s="243"/>
      <c r="B97" s="243"/>
      <c r="C97" s="244"/>
      <c r="D97" s="243"/>
      <c r="E97" s="245"/>
      <c r="F97" s="246"/>
      <c r="G97" s="244"/>
      <c r="H97" s="244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7"/>
      <c r="W97" s="247"/>
    </row>
    <row r="98" spans="1:23" ht="12.75">
      <c r="A98" s="243"/>
      <c r="B98" s="243"/>
      <c r="C98" s="244"/>
      <c r="D98" s="243"/>
      <c r="E98" s="245"/>
      <c r="F98" s="246"/>
      <c r="G98" s="244"/>
      <c r="H98" s="244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7"/>
      <c r="W98" s="247"/>
    </row>
    <row r="99" spans="1:23" ht="12.75">
      <c r="A99" s="243"/>
      <c r="B99" s="243"/>
      <c r="C99" s="244"/>
      <c r="D99" s="243"/>
      <c r="E99" s="245"/>
      <c r="F99" s="246"/>
      <c r="G99" s="244"/>
      <c r="H99" s="244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4"/>
      <c r="V99" s="247"/>
      <c r="W99" s="247"/>
    </row>
    <row r="100" spans="1:23" ht="12.75">
      <c r="A100" s="243"/>
      <c r="B100" s="243"/>
      <c r="C100" s="244"/>
      <c r="D100" s="243"/>
      <c r="E100" s="245"/>
      <c r="F100" s="246"/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7"/>
      <c r="W100" s="247"/>
    </row>
    <row r="101" spans="1:23" ht="12.75">
      <c r="A101" s="243"/>
      <c r="B101" s="243"/>
      <c r="C101" s="244"/>
      <c r="D101" s="243"/>
      <c r="E101" s="245"/>
      <c r="F101" s="246"/>
      <c r="G101" s="244"/>
      <c r="H101" s="244"/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  <c r="S101" s="244"/>
      <c r="T101" s="244"/>
      <c r="U101" s="244"/>
      <c r="V101" s="247"/>
      <c r="W101" s="247"/>
    </row>
    <row r="102" spans="1:23" ht="12.75">
      <c r="A102" s="243"/>
      <c r="B102" s="243"/>
      <c r="C102" s="244"/>
      <c r="D102" s="243"/>
      <c r="E102" s="245"/>
      <c r="F102" s="246"/>
      <c r="G102" s="244"/>
      <c r="H102" s="244"/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  <c r="S102" s="244"/>
      <c r="T102" s="244"/>
      <c r="U102" s="244"/>
      <c r="V102" s="247"/>
      <c r="W102" s="247"/>
    </row>
    <row r="103" spans="1:23" ht="12.75">
      <c r="A103" s="243"/>
      <c r="B103" s="243"/>
      <c r="C103" s="244"/>
      <c r="D103" s="243"/>
      <c r="E103" s="245"/>
      <c r="F103" s="246"/>
      <c r="G103" s="244"/>
      <c r="H103" s="244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244"/>
      <c r="T103" s="244"/>
      <c r="U103" s="244"/>
      <c r="V103" s="247"/>
      <c r="W103" s="247"/>
    </row>
    <row r="104" spans="1:23" ht="12.75">
      <c r="A104" s="243"/>
      <c r="B104" s="243"/>
      <c r="C104" s="244"/>
      <c r="D104" s="243"/>
      <c r="E104" s="245"/>
      <c r="F104" s="246"/>
      <c r="G104" s="244"/>
      <c r="H104" s="244"/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  <c r="S104" s="244"/>
      <c r="T104" s="244"/>
      <c r="U104" s="244"/>
      <c r="V104" s="247"/>
      <c r="W104" s="247"/>
    </row>
    <row r="105" spans="1:23" ht="12.75">
      <c r="A105" s="243"/>
      <c r="B105" s="243"/>
      <c r="C105" s="244"/>
      <c r="D105" s="243"/>
      <c r="E105" s="245"/>
      <c r="F105" s="246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7"/>
      <c r="W105" s="247"/>
    </row>
    <row r="106" spans="1:23" ht="12.75">
      <c r="A106" s="243"/>
      <c r="B106" s="243"/>
      <c r="C106" s="244"/>
      <c r="D106" s="243"/>
      <c r="E106" s="245"/>
      <c r="F106" s="246"/>
      <c r="G106" s="244"/>
      <c r="H106" s="244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7"/>
      <c r="W106" s="247"/>
    </row>
    <row r="107" spans="1:23" ht="12.75">
      <c r="A107" s="243"/>
      <c r="B107" s="243"/>
      <c r="C107" s="244"/>
      <c r="D107" s="243"/>
      <c r="E107" s="245"/>
      <c r="F107" s="246"/>
      <c r="G107" s="244"/>
      <c r="H107" s="244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7"/>
      <c r="W107" s="247"/>
    </row>
    <row r="108" spans="1:23" ht="12.75">
      <c r="A108" s="243"/>
      <c r="B108" s="243"/>
      <c r="C108" s="244"/>
      <c r="D108" s="243"/>
      <c r="E108" s="245"/>
      <c r="F108" s="246"/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7"/>
      <c r="W108" s="247"/>
    </row>
    <row r="109" spans="1:23" ht="12.75">
      <c r="A109" s="243"/>
      <c r="B109" s="243"/>
      <c r="C109" s="244"/>
      <c r="D109" s="243"/>
      <c r="E109" s="245"/>
      <c r="F109" s="246"/>
      <c r="G109" s="244"/>
      <c r="H109" s="244"/>
      <c r="I109" s="244"/>
      <c r="J109" s="244"/>
      <c r="K109" s="244"/>
      <c r="L109" s="244"/>
      <c r="M109" s="244"/>
      <c r="N109" s="244"/>
      <c r="O109" s="244"/>
      <c r="P109" s="244"/>
      <c r="Q109" s="244"/>
      <c r="R109" s="244"/>
      <c r="S109" s="244"/>
      <c r="T109" s="244"/>
      <c r="U109" s="244"/>
      <c r="V109" s="247"/>
      <c r="W109" s="247"/>
    </row>
    <row r="110" spans="1:23" ht="12.75">
      <c r="A110" s="243"/>
      <c r="B110" s="243"/>
      <c r="C110" s="244"/>
      <c r="D110" s="243"/>
      <c r="E110" s="245"/>
      <c r="F110" s="246"/>
      <c r="G110" s="244"/>
      <c r="H110" s="244"/>
      <c r="I110" s="244"/>
      <c r="J110" s="244"/>
      <c r="K110" s="244"/>
      <c r="L110" s="244"/>
      <c r="M110" s="244"/>
      <c r="N110" s="244"/>
      <c r="O110" s="244"/>
      <c r="P110" s="244"/>
      <c r="Q110" s="244"/>
      <c r="R110" s="244"/>
      <c r="S110" s="244"/>
      <c r="T110" s="244"/>
      <c r="U110" s="244"/>
      <c r="V110" s="247"/>
      <c r="W110" s="247"/>
    </row>
    <row r="111" spans="1:23" ht="12.75">
      <c r="A111" s="243"/>
      <c r="B111" s="243"/>
      <c r="C111" s="244"/>
      <c r="D111" s="243"/>
      <c r="E111" s="245"/>
      <c r="F111" s="246"/>
      <c r="G111" s="244"/>
      <c r="H111" s="244"/>
      <c r="I111" s="244"/>
      <c r="J111" s="244"/>
      <c r="K111" s="244"/>
      <c r="L111" s="244"/>
      <c r="M111" s="244"/>
      <c r="N111" s="244"/>
      <c r="O111" s="244"/>
      <c r="P111" s="244"/>
      <c r="Q111" s="244"/>
      <c r="R111" s="244"/>
      <c r="S111" s="244"/>
      <c r="T111" s="244"/>
      <c r="U111" s="244"/>
      <c r="V111" s="247"/>
      <c r="W111" s="247"/>
    </row>
    <row r="112" spans="1:23" ht="12.75">
      <c r="A112" s="243"/>
      <c r="B112" s="243"/>
      <c r="C112" s="244"/>
      <c r="D112" s="243"/>
      <c r="E112" s="245"/>
      <c r="F112" s="246"/>
      <c r="G112" s="244"/>
      <c r="H112" s="244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44"/>
      <c r="U112" s="244"/>
      <c r="V112" s="247"/>
      <c r="W112" s="247"/>
    </row>
    <row r="113" spans="1:23" ht="12.75">
      <c r="A113" s="243"/>
      <c r="B113" s="243"/>
      <c r="C113" s="244"/>
      <c r="D113" s="243"/>
      <c r="E113" s="245"/>
      <c r="F113" s="246"/>
      <c r="G113" s="244"/>
      <c r="H113" s="244"/>
      <c r="I113" s="244"/>
      <c r="J113" s="244"/>
      <c r="K113" s="244"/>
      <c r="L113" s="244"/>
      <c r="M113" s="244"/>
      <c r="N113" s="244"/>
      <c r="O113" s="244"/>
      <c r="P113" s="244"/>
      <c r="Q113" s="244"/>
      <c r="R113" s="244"/>
      <c r="S113" s="244"/>
      <c r="T113" s="244"/>
      <c r="U113" s="244"/>
      <c r="V113" s="247"/>
      <c r="W113" s="247"/>
    </row>
    <row r="114" spans="1:23" ht="12.75">
      <c r="A114" s="243"/>
      <c r="B114" s="243"/>
      <c r="C114" s="244"/>
      <c r="D114" s="243"/>
      <c r="E114" s="245"/>
      <c r="F114" s="246"/>
      <c r="G114" s="244"/>
      <c r="H114" s="244"/>
      <c r="I114" s="244"/>
      <c r="J114" s="244"/>
      <c r="K114" s="244"/>
      <c r="L114" s="244"/>
      <c r="M114" s="244"/>
      <c r="N114" s="244"/>
      <c r="O114" s="244"/>
      <c r="P114" s="244"/>
      <c r="Q114" s="244"/>
      <c r="R114" s="244"/>
      <c r="S114" s="244"/>
      <c r="T114" s="244"/>
      <c r="U114" s="244"/>
      <c r="V114" s="247"/>
      <c r="W114" s="247"/>
    </row>
    <row r="115" spans="1:23" ht="12.75">
      <c r="A115" s="243"/>
      <c r="B115" s="243"/>
      <c r="C115" s="244"/>
      <c r="D115" s="243"/>
      <c r="E115" s="245"/>
      <c r="F115" s="246"/>
      <c r="G115" s="244"/>
      <c r="H115" s="244"/>
      <c r="I115" s="244"/>
      <c r="J115" s="244"/>
      <c r="K115" s="244"/>
      <c r="L115" s="244"/>
      <c r="M115" s="244"/>
      <c r="N115" s="244"/>
      <c r="O115" s="244"/>
      <c r="P115" s="244"/>
      <c r="Q115" s="244"/>
      <c r="R115" s="244"/>
      <c r="S115" s="244"/>
      <c r="T115" s="244"/>
      <c r="U115" s="244"/>
      <c r="V115" s="247"/>
      <c r="W115" s="247"/>
    </row>
    <row r="116" spans="1:23" ht="12.75">
      <c r="A116" s="243"/>
      <c r="B116" s="243"/>
      <c r="C116" s="244"/>
      <c r="D116" s="243"/>
      <c r="E116" s="245"/>
      <c r="F116" s="246"/>
      <c r="G116" s="244"/>
      <c r="H116" s="244"/>
      <c r="I116" s="244"/>
      <c r="J116" s="244"/>
      <c r="K116" s="244"/>
      <c r="L116" s="244"/>
      <c r="M116" s="244"/>
      <c r="N116" s="244"/>
      <c r="O116" s="244"/>
      <c r="P116" s="244"/>
      <c r="Q116" s="244"/>
      <c r="R116" s="244"/>
      <c r="S116" s="244"/>
      <c r="T116" s="244"/>
      <c r="U116" s="244"/>
      <c r="V116" s="247"/>
      <c r="W116" s="247"/>
    </row>
    <row r="117" spans="1:23" ht="12.75">
      <c r="A117" s="243"/>
      <c r="B117" s="243"/>
      <c r="C117" s="244"/>
      <c r="D117" s="243"/>
      <c r="E117" s="245"/>
      <c r="F117" s="246"/>
      <c r="G117" s="244"/>
      <c r="H117" s="244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4"/>
      <c r="U117" s="244"/>
      <c r="V117" s="247"/>
      <c r="W117" s="247"/>
    </row>
    <row r="118" spans="1:23" ht="12.75">
      <c r="A118" s="243"/>
      <c r="B118" s="243"/>
      <c r="C118" s="244"/>
      <c r="D118" s="243"/>
      <c r="E118" s="245"/>
      <c r="F118" s="246"/>
      <c r="G118" s="244"/>
      <c r="H118" s="244"/>
      <c r="I118" s="244"/>
      <c r="J118" s="244"/>
      <c r="K118" s="244"/>
      <c r="L118" s="244"/>
      <c r="M118" s="244"/>
      <c r="N118" s="244"/>
      <c r="O118" s="244"/>
      <c r="P118" s="244"/>
      <c r="Q118" s="244"/>
      <c r="R118" s="244"/>
      <c r="S118" s="244"/>
      <c r="T118" s="244"/>
      <c r="U118" s="244"/>
      <c r="V118" s="247"/>
      <c r="W118" s="247"/>
    </row>
    <row r="119" spans="1:23" ht="12.75">
      <c r="A119" s="243"/>
      <c r="B119" s="243"/>
      <c r="C119" s="244"/>
      <c r="D119" s="243"/>
      <c r="E119" s="245"/>
      <c r="F119" s="246"/>
      <c r="G119" s="244"/>
      <c r="H119" s="244"/>
      <c r="I119" s="244"/>
      <c r="J119" s="244"/>
      <c r="K119" s="244"/>
      <c r="L119" s="244"/>
      <c r="M119" s="244"/>
      <c r="N119" s="244"/>
      <c r="O119" s="244"/>
      <c r="P119" s="244"/>
      <c r="Q119" s="244"/>
      <c r="R119" s="244"/>
      <c r="S119" s="244"/>
      <c r="T119" s="244"/>
      <c r="U119" s="244"/>
      <c r="V119" s="247"/>
      <c r="W119" s="247"/>
    </row>
    <row r="120" spans="1:23" ht="12.75">
      <c r="A120" s="243"/>
      <c r="B120" s="243"/>
      <c r="C120" s="244"/>
      <c r="D120" s="243"/>
      <c r="E120" s="245"/>
      <c r="F120" s="246"/>
      <c r="G120" s="244"/>
      <c r="H120" s="244"/>
      <c r="I120" s="244"/>
      <c r="J120" s="244"/>
      <c r="K120" s="244"/>
      <c r="L120" s="244"/>
      <c r="M120" s="244"/>
      <c r="N120" s="244"/>
      <c r="O120" s="244"/>
      <c r="P120" s="244"/>
      <c r="Q120" s="244"/>
      <c r="R120" s="244"/>
      <c r="S120" s="244"/>
      <c r="T120" s="244"/>
      <c r="U120" s="244"/>
      <c r="V120" s="247"/>
      <c r="W120" s="247"/>
    </row>
    <row r="121" spans="1:23" ht="12.75">
      <c r="A121" s="243"/>
      <c r="B121" s="243"/>
      <c r="C121" s="244"/>
      <c r="D121" s="243"/>
      <c r="E121" s="245"/>
      <c r="F121" s="246"/>
      <c r="G121" s="244"/>
      <c r="H121" s="244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244"/>
      <c r="T121" s="244"/>
      <c r="U121" s="244"/>
      <c r="V121" s="247"/>
      <c r="W121" s="247"/>
    </row>
    <row r="122" spans="1:23" ht="12.75">
      <c r="A122" s="243"/>
      <c r="B122" s="243"/>
      <c r="C122" s="244"/>
      <c r="D122" s="243"/>
      <c r="E122" s="245"/>
      <c r="F122" s="246"/>
      <c r="G122" s="244"/>
      <c r="H122" s="244"/>
      <c r="I122" s="244"/>
      <c r="J122" s="244"/>
      <c r="K122" s="244"/>
      <c r="L122" s="244"/>
      <c r="M122" s="244"/>
      <c r="N122" s="244"/>
      <c r="O122" s="244"/>
      <c r="P122" s="244"/>
      <c r="Q122" s="244"/>
      <c r="R122" s="244"/>
      <c r="S122" s="244"/>
      <c r="T122" s="244"/>
      <c r="U122" s="244"/>
      <c r="V122" s="247"/>
      <c r="W122" s="247"/>
    </row>
    <row r="123" spans="1:23" ht="12.75">
      <c r="A123" s="243"/>
      <c r="B123" s="243"/>
      <c r="C123" s="244"/>
      <c r="D123" s="243"/>
      <c r="E123" s="245"/>
      <c r="F123" s="246"/>
      <c r="G123" s="244"/>
      <c r="H123" s="244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7"/>
      <c r="W123" s="247"/>
    </row>
    <row r="124" spans="1:23" ht="12.75">
      <c r="A124" s="243"/>
      <c r="B124" s="243"/>
      <c r="C124" s="244"/>
      <c r="D124" s="243"/>
      <c r="E124" s="245"/>
      <c r="F124" s="246"/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7"/>
      <c r="W124" s="247"/>
    </row>
    <row r="125" spans="1:23" ht="12.75">
      <c r="A125" s="243"/>
      <c r="B125" s="243"/>
      <c r="C125" s="244"/>
      <c r="D125" s="243"/>
      <c r="E125" s="245"/>
      <c r="F125" s="246"/>
      <c r="G125" s="244"/>
      <c r="H125" s="244"/>
      <c r="I125" s="244"/>
      <c r="J125" s="244"/>
      <c r="K125" s="244"/>
      <c r="L125" s="244"/>
      <c r="M125" s="244"/>
      <c r="N125" s="244"/>
      <c r="O125" s="244"/>
      <c r="P125" s="244"/>
      <c r="Q125" s="244"/>
      <c r="R125" s="244"/>
      <c r="S125" s="244"/>
      <c r="T125" s="244"/>
      <c r="U125" s="244"/>
      <c r="V125" s="247"/>
      <c r="W125" s="247"/>
    </row>
    <row r="126" spans="1:23" ht="12.75">
      <c r="A126" s="243"/>
      <c r="B126" s="243"/>
      <c r="C126" s="244"/>
      <c r="D126" s="243"/>
      <c r="E126" s="245"/>
      <c r="F126" s="246"/>
      <c r="G126" s="244"/>
      <c r="H126" s="244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  <c r="S126" s="244"/>
      <c r="T126" s="244"/>
      <c r="U126" s="244"/>
      <c r="V126" s="247"/>
      <c r="W126" s="247"/>
    </row>
    <row r="127" spans="1:23" ht="12.75">
      <c r="A127" s="243"/>
      <c r="B127" s="243"/>
      <c r="C127" s="244"/>
      <c r="D127" s="243"/>
      <c r="E127" s="245"/>
      <c r="F127" s="246"/>
      <c r="G127" s="244"/>
      <c r="H127" s="244"/>
      <c r="I127" s="244"/>
      <c r="J127" s="244"/>
      <c r="K127" s="244"/>
      <c r="L127" s="244"/>
      <c r="M127" s="244"/>
      <c r="N127" s="244"/>
      <c r="O127" s="244"/>
      <c r="P127" s="244"/>
      <c r="Q127" s="244"/>
      <c r="R127" s="244"/>
      <c r="S127" s="244"/>
      <c r="T127" s="244"/>
      <c r="U127" s="244"/>
      <c r="V127" s="247"/>
      <c r="W127" s="247"/>
    </row>
    <row r="128" spans="1:23" ht="12.75">
      <c r="A128" s="243"/>
      <c r="B128" s="243"/>
      <c r="C128" s="244"/>
      <c r="D128" s="243"/>
      <c r="E128" s="245"/>
      <c r="F128" s="246"/>
      <c r="G128" s="244"/>
      <c r="H128" s="244"/>
      <c r="I128" s="244"/>
      <c r="J128" s="244"/>
      <c r="K128" s="244"/>
      <c r="L128" s="244"/>
      <c r="M128" s="244"/>
      <c r="N128" s="244"/>
      <c r="O128" s="244"/>
      <c r="P128" s="244"/>
      <c r="Q128" s="244"/>
      <c r="R128" s="244"/>
      <c r="S128" s="244"/>
      <c r="T128" s="244"/>
      <c r="U128" s="244"/>
      <c r="V128" s="247"/>
      <c r="W128" s="247"/>
    </row>
    <row r="129" spans="1:23" ht="12.75">
      <c r="A129" s="243"/>
      <c r="B129" s="243"/>
      <c r="C129" s="244"/>
      <c r="D129" s="243"/>
      <c r="E129" s="245"/>
      <c r="F129" s="246"/>
      <c r="G129" s="244"/>
      <c r="H129" s="244"/>
      <c r="I129" s="244"/>
      <c r="J129" s="244"/>
      <c r="K129" s="244"/>
      <c r="L129" s="244"/>
      <c r="M129" s="244"/>
      <c r="N129" s="244"/>
      <c r="O129" s="244"/>
      <c r="P129" s="244"/>
      <c r="Q129" s="244"/>
      <c r="R129" s="244"/>
      <c r="S129" s="244"/>
      <c r="T129" s="244"/>
      <c r="U129" s="244"/>
      <c r="V129" s="247"/>
      <c r="W129" s="247"/>
    </row>
    <row r="130" spans="1:23" ht="12.75">
      <c r="A130" s="243"/>
      <c r="B130" s="243"/>
      <c r="C130" s="244"/>
      <c r="D130" s="243"/>
      <c r="E130" s="245"/>
      <c r="F130" s="246"/>
      <c r="G130" s="244"/>
      <c r="H130" s="244"/>
      <c r="I130" s="244"/>
      <c r="J130" s="244"/>
      <c r="K130" s="244"/>
      <c r="L130" s="244"/>
      <c r="M130" s="244"/>
      <c r="N130" s="244"/>
      <c r="O130" s="244"/>
      <c r="P130" s="244"/>
      <c r="Q130" s="244"/>
      <c r="R130" s="244"/>
      <c r="S130" s="244"/>
      <c r="T130" s="244"/>
      <c r="U130" s="244"/>
      <c r="V130" s="247"/>
      <c r="W130" s="247"/>
    </row>
    <row r="131" spans="1:23" ht="12.75">
      <c r="A131" s="243"/>
      <c r="B131" s="243"/>
      <c r="C131" s="244"/>
      <c r="D131" s="243"/>
      <c r="E131" s="245"/>
      <c r="F131" s="246"/>
      <c r="G131" s="244"/>
      <c r="H131" s="244"/>
      <c r="I131" s="244"/>
      <c r="J131" s="244"/>
      <c r="K131" s="244"/>
      <c r="L131" s="244"/>
      <c r="M131" s="244"/>
      <c r="N131" s="244"/>
      <c r="O131" s="244"/>
      <c r="P131" s="244"/>
      <c r="Q131" s="244"/>
      <c r="R131" s="244"/>
      <c r="S131" s="244"/>
      <c r="T131" s="244"/>
      <c r="U131" s="244"/>
      <c r="V131" s="247"/>
      <c r="W131" s="247"/>
    </row>
    <row r="132" spans="1:23" ht="12.75">
      <c r="A132" s="243"/>
      <c r="B132" s="243"/>
      <c r="C132" s="244"/>
      <c r="D132" s="243"/>
      <c r="E132" s="245"/>
      <c r="F132" s="246"/>
      <c r="G132" s="244"/>
      <c r="H132" s="244"/>
      <c r="I132" s="244"/>
      <c r="J132" s="244"/>
      <c r="K132" s="244"/>
      <c r="L132" s="244"/>
      <c r="M132" s="244"/>
      <c r="N132" s="244"/>
      <c r="O132" s="244"/>
      <c r="P132" s="244"/>
      <c r="Q132" s="244"/>
      <c r="R132" s="244"/>
      <c r="S132" s="244"/>
      <c r="T132" s="244"/>
      <c r="U132" s="244"/>
      <c r="V132" s="247"/>
      <c r="W132" s="247"/>
    </row>
    <row r="133" spans="1:23" ht="12.75">
      <c r="A133" s="243"/>
      <c r="B133" s="243"/>
      <c r="C133" s="244"/>
      <c r="D133" s="243"/>
      <c r="E133" s="245"/>
      <c r="F133" s="246"/>
      <c r="G133" s="244"/>
      <c r="H133" s="244"/>
      <c r="I133" s="244"/>
      <c r="J133" s="244"/>
      <c r="K133" s="244"/>
      <c r="L133" s="244"/>
      <c r="M133" s="244"/>
      <c r="N133" s="244"/>
      <c r="O133" s="244"/>
      <c r="P133" s="244"/>
      <c r="Q133" s="244"/>
      <c r="R133" s="244"/>
      <c r="S133" s="244"/>
      <c r="T133" s="244"/>
      <c r="U133" s="244"/>
      <c r="V133" s="247"/>
      <c r="W133" s="247"/>
    </row>
    <row r="134" spans="1:23" ht="12.75">
      <c r="A134" s="243"/>
      <c r="B134" s="243"/>
      <c r="C134" s="244"/>
      <c r="D134" s="243"/>
      <c r="E134" s="245"/>
      <c r="F134" s="246"/>
      <c r="G134" s="244"/>
      <c r="H134" s="244"/>
      <c r="I134" s="244"/>
      <c r="J134" s="244"/>
      <c r="K134" s="244"/>
      <c r="L134" s="244"/>
      <c r="M134" s="244"/>
      <c r="N134" s="244"/>
      <c r="O134" s="244"/>
      <c r="P134" s="244"/>
      <c r="Q134" s="244"/>
      <c r="R134" s="244"/>
      <c r="S134" s="244"/>
      <c r="T134" s="244"/>
      <c r="U134" s="244"/>
      <c r="V134" s="247"/>
      <c r="W134" s="247"/>
    </row>
    <row r="135" spans="1:23" ht="12.75">
      <c r="A135" s="243"/>
      <c r="B135" s="243"/>
      <c r="C135" s="244"/>
      <c r="D135" s="243"/>
      <c r="E135" s="245"/>
      <c r="F135" s="246"/>
      <c r="G135" s="244"/>
      <c r="H135" s="244"/>
      <c r="I135" s="244"/>
      <c r="J135" s="244"/>
      <c r="K135" s="244"/>
      <c r="L135" s="244"/>
      <c r="M135" s="244"/>
      <c r="N135" s="244"/>
      <c r="O135" s="244"/>
      <c r="P135" s="244"/>
      <c r="Q135" s="244"/>
      <c r="R135" s="244"/>
      <c r="S135" s="244"/>
      <c r="T135" s="244"/>
      <c r="U135" s="244"/>
      <c r="V135" s="247"/>
      <c r="W135" s="247"/>
    </row>
    <row r="136" spans="1:23" ht="12.75">
      <c r="A136" s="243"/>
      <c r="B136" s="243"/>
      <c r="C136" s="244"/>
      <c r="D136" s="243"/>
      <c r="E136" s="245"/>
      <c r="F136" s="246"/>
      <c r="G136" s="244"/>
      <c r="H136" s="244"/>
      <c r="I136" s="244"/>
      <c r="J136" s="244"/>
      <c r="K136" s="244"/>
      <c r="L136" s="244"/>
      <c r="M136" s="244"/>
      <c r="N136" s="244"/>
      <c r="O136" s="244"/>
      <c r="P136" s="244"/>
      <c r="Q136" s="244"/>
      <c r="R136" s="244"/>
      <c r="S136" s="244"/>
      <c r="T136" s="244"/>
      <c r="U136" s="244"/>
      <c r="V136" s="247"/>
      <c r="W136" s="247"/>
    </row>
    <row r="137" spans="1:23" ht="12.75">
      <c r="A137" s="243"/>
      <c r="B137" s="243"/>
      <c r="C137" s="244"/>
      <c r="D137" s="243"/>
      <c r="E137" s="245"/>
      <c r="F137" s="246"/>
      <c r="G137" s="244"/>
      <c r="H137" s="244"/>
      <c r="I137" s="244"/>
      <c r="J137" s="244"/>
      <c r="K137" s="244"/>
      <c r="L137" s="244"/>
      <c r="M137" s="244"/>
      <c r="N137" s="244"/>
      <c r="O137" s="244"/>
      <c r="P137" s="244"/>
      <c r="Q137" s="244"/>
      <c r="R137" s="244"/>
      <c r="S137" s="244"/>
      <c r="T137" s="244"/>
      <c r="U137" s="244"/>
      <c r="V137" s="247"/>
      <c r="W137" s="247"/>
    </row>
    <row r="138" spans="1:23" ht="12.75">
      <c r="A138" s="243"/>
      <c r="B138" s="243"/>
      <c r="C138" s="244"/>
      <c r="D138" s="243"/>
      <c r="E138" s="245"/>
      <c r="F138" s="246"/>
      <c r="G138" s="244"/>
      <c r="H138" s="244"/>
      <c r="I138" s="244"/>
      <c r="J138" s="244"/>
      <c r="K138" s="244"/>
      <c r="L138" s="244"/>
      <c r="M138" s="244"/>
      <c r="N138" s="244"/>
      <c r="O138" s="244"/>
      <c r="P138" s="244"/>
      <c r="Q138" s="244"/>
      <c r="R138" s="244"/>
      <c r="S138" s="244"/>
      <c r="T138" s="244"/>
      <c r="U138" s="244"/>
      <c r="V138" s="247"/>
      <c r="W138" s="247"/>
    </row>
    <row r="139" spans="1:23" ht="12.75">
      <c r="A139" s="243"/>
      <c r="B139" s="243"/>
      <c r="C139" s="244"/>
      <c r="D139" s="243"/>
      <c r="E139" s="245"/>
      <c r="F139" s="246"/>
      <c r="G139" s="244"/>
      <c r="H139" s="244"/>
      <c r="I139" s="244"/>
      <c r="J139" s="244"/>
      <c r="K139" s="244"/>
      <c r="L139" s="244"/>
      <c r="M139" s="244"/>
      <c r="N139" s="244"/>
      <c r="O139" s="244"/>
      <c r="P139" s="244"/>
      <c r="Q139" s="244"/>
      <c r="R139" s="244"/>
      <c r="S139" s="244"/>
      <c r="T139" s="244"/>
      <c r="U139" s="244"/>
      <c r="V139" s="247"/>
      <c r="W139" s="247"/>
    </row>
    <row r="140" spans="1:23" ht="12.75">
      <c r="A140" s="243"/>
      <c r="B140" s="243"/>
      <c r="C140" s="244"/>
      <c r="D140" s="243"/>
      <c r="E140" s="245"/>
      <c r="F140" s="246"/>
      <c r="G140" s="244"/>
      <c r="H140" s="244"/>
      <c r="I140" s="244"/>
      <c r="J140" s="244"/>
      <c r="K140" s="244"/>
      <c r="L140" s="244"/>
      <c r="M140" s="244"/>
      <c r="N140" s="244"/>
      <c r="O140" s="244"/>
      <c r="P140" s="244"/>
      <c r="Q140" s="244"/>
      <c r="R140" s="244"/>
      <c r="S140" s="244"/>
      <c r="T140" s="244"/>
      <c r="U140" s="244"/>
      <c r="V140" s="247"/>
      <c r="W140" s="247"/>
    </row>
    <row r="141" spans="1:23" ht="12.75">
      <c r="A141" s="243"/>
      <c r="B141" s="243"/>
      <c r="C141" s="244"/>
      <c r="D141" s="243"/>
      <c r="E141" s="245"/>
      <c r="F141" s="246"/>
      <c r="G141" s="244"/>
      <c r="H141" s="244"/>
      <c r="I141" s="244"/>
      <c r="J141" s="244"/>
      <c r="K141" s="244"/>
      <c r="L141" s="244"/>
      <c r="M141" s="244"/>
      <c r="N141" s="244"/>
      <c r="O141" s="244"/>
      <c r="P141" s="244"/>
      <c r="Q141" s="244"/>
      <c r="R141" s="244"/>
      <c r="S141" s="244"/>
      <c r="T141" s="244"/>
      <c r="U141" s="244"/>
      <c r="V141" s="247"/>
      <c r="W141" s="247"/>
    </row>
    <row r="142" spans="1:23" ht="12.75">
      <c r="A142" s="243"/>
      <c r="B142" s="243"/>
      <c r="C142" s="244"/>
      <c r="D142" s="243"/>
      <c r="E142" s="245"/>
      <c r="F142" s="246"/>
      <c r="G142" s="244"/>
      <c r="H142" s="244"/>
      <c r="I142" s="244"/>
      <c r="J142" s="244"/>
      <c r="K142" s="244"/>
      <c r="L142" s="244"/>
      <c r="M142" s="244"/>
      <c r="N142" s="244"/>
      <c r="O142" s="244"/>
      <c r="P142" s="244"/>
      <c r="Q142" s="244"/>
      <c r="R142" s="244"/>
      <c r="S142" s="244"/>
      <c r="T142" s="244"/>
      <c r="U142" s="244"/>
      <c r="V142" s="247"/>
      <c r="W142" s="247"/>
    </row>
    <row r="143" spans="1:23" ht="12.75">
      <c r="A143" s="243"/>
      <c r="B143" s="243"/>
      <c r="C143" s="244"/>
      <c r="D143" s="243"/>
      <c r="E143" s="245"/>
      <c r="F143" s="246"/>
      <c r="G143" s="244"/>
      <c r="H143" s="244"/>
      <c r="I143" s="244"/>
      <c r="J143" s="244"/>
      <c r="K143" s="244"/>
      <c r="L143" s="244"/>
      <c r="M143" s="244"/>
      <c r="N143" s="244"/>
      <c r="O143" s="244"/>
      <c r="P143" s="244"/>
      <c r="Q143" s="244"/>
      <c r="R143" s="244"/>
      <c r="S143" s="244"/>
      <c r="T143" s="244"/>
      <c r="U143" s="244"/>
      <c r="V143" s="247"/>
      <c r="W143" s="247"/>
    </row>
    <row r="144" spans="1:23" ht="12.75">
      <c r="A144" s="243"/>
      <c r="B144" s="243"/>
      <c r="C144" s="244"/>
      <c r="D144" s="243"/>
      <c r="E144" s="245"/>
      <c r="F144" s="246"/>
      <c r="G144" s="244"/>
      <c r="H144" s="244"/>
      <c r="I144" s="244"/>
      <c r="J144" s="244"/>
      <c r="K144" s="244"/>
      <c r="L144" s="244"/>
      <c r="M144" s="244"/>
      <c r="N144" s="244"/>
      <c r="O144" s="244"/>
      <c r="P144" s="244"/>
      <c r="Q144" s="244"/>
      <c r="R144" s="244"/>
      <c r="S144" s="244"/>
      <c r="T144" s="244"/>
      <c r="U144" s="244"/>
      <c r="V144" s="247"/>
      <c r="W144" s="247"/>
    </row>
    <row r="145" spans="1:23" ht="12.75">
      <c r="A145" s="243"/>
      <c r="B145" s="243"/>
      <c r="C145" s="244"/>
      <c r="D145" s="243"/>
      <c r="E145" s="245"/>
      <c r="F145" s="246"/>
      <c r="G145" s="244"/>
      <c r="H145" s="244"/>
      <c r="I145" s="244"/>
      <c r="J145" s="244"/>
      <c r="K145" s="244"/>
      <c r="L145" s="244"/>
      <c r="M145" s="244"/>
      <c r="N145" s="244"/>
      <c r="O145" s="244"/>
      <c r="P145" s="244"/>
      <c r="Q145" s="244"/>
      <c r="R145" s="244"/>
      <c r="S145" s="244"/>
      <c r="T145" s="244"/>
      <c r="U145" s="244"/>
      <c r="V145" s="247"/>
      <c r="W145" s="247"/>
    </row>
    <row r="146" spans="1:23" ht="12.75">
      <c r="A146" s="243"/>
      <c r="B146" s="243"/>
      <c r="C146" s="244"/>
      <c r="D146" s="243"/>
      <c r="E146" s="245"/>
      <c r="F146" s="246"/>
      <c r="G146" s="244"/>
      <c r="H146" s="244"/>
      <c r="I146" s="244"/>
      <c r="J146" s="244"/>
      <c r="K146" s="244"/>
      <c r="L146" s="244"/>
      <c r="M146" s="244"/>
      <c r="N146" s="244"/>
      <c r="O146" s="244"/>
      <c r="P146" s="244"/>
      <c r="Q146" s="244"/>
      <c r="R146" s="244"/>
      <c r="S146" s="244"/>
      <c r="T146" s="244"/>
      <c r="U146" s="244"/>
      <c r="V146" s="247"/>
      <c r="W146" s="247"/>
    </row>
    <row r="147" spans="1:23" ht="12.75">
      <c r="A147" s="243"/>
      <c r="B147" s="243"/>
      <c r="C147" s="244"/>
      <c r="D147" s="243"/>
      <c r="E147" s="245"/>
      <c r="F147" s="246"/>
      <c r="G147" s="244"/>
      <c r="H147" s="244"/>
      <c r="I147" s="244"/>
      <c r="J147" s="244"/>
      <c r="K147" s="244"/>
      <c r="L147" s="244"/>
      <c r="M147" s="244"/>
      <c r="N147" s="244"/>
      <c r="O147" s="244"/>
      <c r="P147" s="244"/>
      <c r="Q147" s="244"/>
      <c r="R147" s="244"/>
      <c r="S147" s="244"/>
      <c r="T147" s="244"/>
      <c r="U147" s="244"/>
      <c r="V147" s="247"/>
      <c r="W147" s="247"/>
    </row>
    <row r="148" spans="1:23" ht="12.75">
      <c r="A148" s="243"/>
      <c r="B148" s="243"/>
      <c r="C148" s="244"/>
      <c r="D148" s="243"/>
      <c r="E148" s="245"/>
      <c r="F148" s="246"/>
      <c r="G148" s="244"/>
      <c r="H148" s="244"/>
      <c r="I148" s="244"/>
      <c r="J148" s="244"/>
      <c r="K148" s="244"/>
      <c r="L148" s="244"/>
      <c r="M148" s="244"/>
      <c r="N148" s="244"/>
      <c r="O148" s="244"/>
      <c r="P148" s="244"/>
      <c r="Q148" s="244"/>
      <c r="R148" s="244"/>
      <c r="S148" s="244"/>
      <c r="T148" s="244"/>
      <c r="U148" s="244"/>
      <c r="V148" s="247"/>
      <c r="W148" s="247"/>
    </row>
    <row r="149" spans="1:23" ht="12.75">
      <c r="A149" s="243"/>
      <c r="B149" s="243"/>
      <c r="C149" s="244"/>
      <c r="D149" s="243"/>
      <c r="E149" s="245"/>
      <c r="F149" s="246"/>
      <c r="G149" s="244"/>
      <c r="H149" s="244"/>
      <c r="I149" s="244"/>
      <c r="J149" s="244"/>
      <c r="K149" s="244"/>
      <c r="L149" s="244"/>
      <c r="M149" s="244"/>
      <c r="N149" s="244"/>
      <c r="O149" s="244"/>
      <c r="P149" s="244"/>
      <c r="Q149" s="244"/>
      <c r="R149" s="244"/>
      <c r="S149" s="244"/>
      <c r="T149" s="244"/>
      <c r="U149" s="244"/>
      <c r="V149" s="247"/>
      <c r="W149" s="247"/>
    </row>
    <row r="150" spans="1:23" ht="12.75">
      <c r="A150" s="243"/>
      <c r="B150" s="243"/>
      <c r="C150" s="244"/>
      <c r="D150" s="243"/>
      <c r="E150" s="245"/>
      <c r="F150" s="246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7"/>
      <c r="W150" s="247"/>
    </row>
    <row r="151" spans="1:23" ht="12.75">
      <c r="A151" s="243"/>
      <c r="B151" s="243"/>
      <c r="C151" s="244"/>
      <c r="D151" s="243"/>
      <c r="E151" s="245"/>
      <c r="F151" s="246"/>
      <c r="G151" s="244"/>
      <c r="H151" s="244"/>
      <c r="I151" s="244"/>
      <c r="J151" s="244"/>
      <c r="K151" s="244"/>
      <c r="L151" s="244"/>
      <c r="M151" s="244"/>
      <c r="N151" s="244"/>
      <c r="O151" s="244"/>
      <c r="P151" s="244"/>
      <c r="Q151" s="244"/>
      <c r="R151" s="244"/>
      <c r="S151" s="244"/>
      <c r="T151" s="244"/>
      <c r="U151" s="244"/>
      <c r="V151" s="247"/>
      <c r="W151" s="247"/>
    </row>
    <row r="152" spans="1:23" ht="12.75">
      <c r="A152" s="243"/>
      <c r="B152" s="243"/>
      <c r="C152" s="244"/>
      <c r="D152" s="243"/>
      <c r="E152" s="245"/>
      <c r="F152" s="246"/>
      <c r="G152" s="244"/>
      <c r="H152" s="244"/>
      <c r="I152" s="244"/>
      <c r="J152" s="244"/>
      <c r="K152" s="244"/>
      <c r="L152" s="244"/>
      <c r="M152" s="244"/>
      <c r="N152" s="244"/>
      <c r="O152" s="244"/>
      <c r="P152" s="244"/>
      <c r="Q152" s="244"/>
      <c r="R152" s="244"/>
      <c r="S152" s="244"/>
      <c r="T152" s="244"/>
      <c r="U152" s="244"/>
      <c r="V152" s="247"/>
      <c r="W152" s="247"/>
    </row>
    <row r="153" spans="1:23" ht="12.75">
      <c r="A153" s="243"/>
      <c r="B153" s="243"/>
      <c r="C153" s="244"/>
      <c r="D153" s="243"/>
      <c r="E153" s="245"/>
      <c r="F153" s="246"/>
      <c r="G153" s="244"/>
      <c r="H153" s="244"/>
      <c r="I153" s="244"/>
      <c r="J153" s="244"/>
      <c r="K153" s="244"/>
      <c r="L153" s="244"/>
      <c r="M153" s="244"/>
      <c r="N153" s="244"/>
      <c r="O153" s="244"/>
      <c r="P153" s="244"/>
      <c r="Q153" s="244"/>
      <c r="R153" s="244"/>
      <c r="S153" s="244"/>
      <c r="T153" s="244"/>
      <c r="U153" s="244"/>
      <c r="V153" s="247"/>
      <c r="W153" s="247"/>
    </row>
    <row r="154" spans="1:23" ht="12.75">
      <c r="A154" s="243"/>
      <c r="B154" s="243"/>
      <c r="C154" s="244"/>
      <c r="D154" s="243"/>
      <c r="E154" s="245"/>
      <c r="F154" s="246"/>
      <c r="G154" s="244"/>
      <c r="H154" s="244"/>
      <c r="I154" s="244"/>
      <c r="J154" s="244"/>
      <c r="K154" s="244"/>
      <c r="L154" s="244"/>
      <c r="M154" s="244"/>
      <c r="N154" s="244"/>
      <c r="O154" s="244"/>
      <c r="P154" s="244"/>
      <c r="Q154" s="244"/>
      <c r="R154" s="244"/>
      <c r="S154" s="244"/>
      <c r="T154" s="244"/>
      <c r="U154" s="244"/>
      <c r="V154" s="247"/>
      <c r="W154" s="247"/>
    </row>
    <row r="155" spans="1:23" ht="12.75">
      <c r="A155" s="243"/>
      <c r="B155" s="243"/>
      <c r="C155" s="244"/>
      <c r="D155" s="243"/>
      <c r="E155" s="245"/>
      <c r="F155" s="246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7"/>
      <c r="W155" s="247"/>
    </row>
    <row r="156" spans="1:23" ht="12.75">
      <c r="A156" s="243"/>
      <c r="B156" s="243"/>
      <c r="C156" s="244"/>
      <c r="D156" s="243"/>
      <c r="E156" s="245"/>
      <c r="F156" s="246"/>
      <c r="G156" s="244"/>
      <c r="H156" s="244"/>
      <c r="I156" s="244"/>
      <c r="J156" s="244"/>
      <c r="K156" s="244"/>
      <c r="L156" s="244"/>
      <c r="M156" s="244"/>
      <c r="N156" s="244"/>
      <c r="O156" s="244"/>
      <c r="P156" s="244"/>
      <c r="Q156" s="244"/>
      <c r="R156" s="244"/>
      <c r="S156" s="244"/>
      <c r="T156" s="244"/>
      <c r="U156" s="244"/>
      <c r="V156" s="247"/>
      <c r="W156" s="247"/>
    </row>
    <row r="157" spans="1:23" ht="12.75">
      <c r="A157" s="243"/>
      <c r="B157" s="243"/>
      <c r="C157" s="244"/>
      <c r="D157" s="243"/>
      <c r="E157" s="245"/>
      <c r="F157" s="246"/>
      <c r="G157" s="244"/>
      <c r="H157" s="244"/>
      <c r="I157" s="244"/>
      <c r="J157" s="244"/>
      <c r="K157" s="244"/>
      <c r="L157" s="244"/>
      <c r="M157" s="244"/>
      <c r="N157" s="244"/>
      <c r="O157" s="244"/>
      <c r="P157" s="244"/>
      <c r="Q157" s="244"/>
      <c r="R157" s="244"/>
      <c r="S157" s="244"/>
      <c r="T157" s="244"/>
      <c r="U157" s="244"/>
      <c r="V157" s="247"/>
      <c r="W157" s="247"/>
    </row>
    <row r="158" spans="1:23" ht="12.75">
      <c r="A158" s="243"/>
      <c r="B158" s="243"/>
      <c r="C158" s="244"/>
      <c r="D158" s="243"/>
      <c r="E158" s="245"/>
      <c r="F158" s="246"/>
      <c r="G158" s="244"/>
      <c r="H158" s="244"/>
      <c r="I158" s="244"/>
      <c r="J158" s="244"/>
      <c r="K158" s="244"/>
      <c r="L158" s="244"/>
      <c r="M158" s="244"/>
      <c r="N158" s="244"/>
      <c r="O158" s="244"/>
      <c r="P158" s="244"/>
      <c r="Q158" s="244"/>
      <c r="R158" s="244"/>
      <c r="S158" s="244"/>
      <c r="T158" s="244"/>
      <c r="U158" s="244"/>
      <c r="V158" s="247"/>
      <c r="W158" s="247"/>
    </row>
    <row r="159" spans="1:23" ht="12.75">
      <c r="A159" s="243"/>
      <c r="B159" s="243"/>
      <c r="C159" s="244"/>
      <c r="D159" s="243"/>
      <c r="E159" s="245"/>
      <c r="F159" s="246"/>
      <c r="G159" s="244"/>
      <c r="H159" s="244"/>
      <c r="I159" s="244"/>
      <c r="J159" s="244"/>
      <c r="K159" s="244"/>
      <c r="L159" s="244"/>
      <c r="M159" s="244"/>
      <c r="N159" s="244"/>
      <c r="O159" s="244"/>
      <c r="P159" s="244"/>
      <c r="Q159" s="244"/>
      <c r="R159" s="244"/>
      <c r="S159" s="244"/>
      <c r="T159" s="244"/>
      <c r="U159" s="244"/>
      <c r="V159" s="247"/>
      <c r="W159" s="247"/>
    </row>
    <row r="160" spans="1:23" ht="12.75">
      <c r="A160" s="243"/>
      <c r="B160" s="243"/>
      <c r="C160" s="244"/>
      <c r="D160" s="243"/>
      <c r="E160" s="245"/>
      <c r="F160" s="246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7"/>
      <c r="W160" s="247"/>
    </row>
    <row r="161" spans="1:23" ht="12.75">
      <c r="A161" s="243"/>
      <c r="B161" s="243"/>
      <c r="C161" s="244"/>
      <c r="D161" s="243"/>
      <c r="E161" s="245"/>
      <c r="F161" s="246"/>
      <c r="G161" s="244"/>
      <c r="H161" s="244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7"/>
      <c r="W161" s="247"/>
    </row>
    <row r="162" spans="1:23" ht="12.75">
      <c r="A162" s="243"/>
      <c r="B162" s="243"/>
      <c r="C162" s="244"/>
      <c r="D162" s="243"/>
      <c r="E162" s="245"/>
      <c r="F162" s="246"/>
      <c r="G162" s="244"/>
      <c r="H162" s="244"/>
      <c r="I162" s="244"/>
      <c r="J162" s="244"/>
      <c r="K162" s="244"/>
      <c r="L162" s="244"/>
      <c r="M162" s="244"/>
      <c r="N162" s="244"/>
      <c r="O162" s="244"/>
      <c r="P162" s="244"/>
      <c r="Q162" s="244"/>
      <c r="R162" s="244"/>
      <c r="S162" s="244"/>
      <c r="T162" s="244"/>
      <c r="U162" s="244"/>
      <c r="V162" s="247"/>
      <c r="W162" s="247"/>
    </row>
    <row r="163" spans="1:23" ht="12.75">
      <c r="A163" s="243"/>
      <c r="B163" s="243"/>
      <c r="C163" s="244"/>
      <c r="D163" s="243"/>
      <c r="E163" s="245"/>
      <c r="F163" s="246"/>
      <c r="G163" s="244"/>
      <c r="H163" s="244"/>
      <c r="I163" s="244"/>
      <c r="J163" s="244"/>
      <c r="K163" s="244"/>
      <c r="L163" s="244"/>
      <c r="M163" s="244"/>
      <c r="N163" s="244"/>
      <c r="O163" s="244"/>
      <c r="P163" s="244"/>
      <c r="Q163" s="244"/>
      <c r="R163" s="244"/>
      <c r="S163" s="244"/>
      <c r="T163" s="244"/>
      <c r="U163" s="244"/>
      <c r="V163" s="247"/>
      <c r="W163" s="247"/>
    </row>
    <row r="164" spans="1:23" ht="12.75">
      <c r="A164" s="243"/>
      <c r="B164" s="243"/>
      <c r="C164" s="244"/>
      <c r="D164" s="243"/>
      <c r="E164" s="245"/>
      <c r="F164" s="246"/>
      <c r="G164" s="244"/>
      <c r="H164" s="244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7"/>
      <c r="W164" s="247"/>
    </row>
    <row r="165" spans="1:23" ht="12.75">
      <c r="A165" s="243"/>
      <c r="B165" s="243"/>
      <c r="C165" s="244"/>
      <c r="D165" s="243"/>
      <c r="E165" s="245"/>
      <c r="F165" s="246"/>
      <c r="G165" s="244"/>
      <c r="H165" s="244"/>
      <c r="I165" s="244"/>
      <c r="J165" s="244"/>
      <c r="K165" s="244"/>
      <c r="L165" s="244"/>
      <c r="M165" s="244"/>
      <c r="N165" s="244"/>
      <c r="O165" s="244"/>
      <c r="P165" s="244"/>
      <c r="Q165" s="244"/>
      <c r="R165" s="244"/>
      <c r="S165" s="244"/>
      <c r="T165" s="244"/>
      <c r="U165" s="244"/>
      <c r="V165" s="247"/>
      <c r="W165" s="247"/>
    </row>
    <row r="166" spans="1:23" ht="12.75">
      <c r="A166" s="243"/>
      <c r="B166" s="243"/>
      <c r="C166" s="244"/>
      <c r="D166" s="243"/>
      <c r="E166" s="245"/>
      <c r="F166" s="246"/>
      <c r="G166" s="244"/>
      <c r="H166" s="244"/>
      <c r="I166" s="244"/>
      <c r="J166" s="244"/>
      <c r="K166" s="244"/>
      <c r="L166" s="244"/>
      <c r="M166" s="244"/>
      <c r="N166" s="244"/>
      <c r="O166" s="244"/>
      <c r="P166" s="244"/>
      <c r="Q166" s="244"/>
      <c r="R166" s="244"/>
      <c r="S166" s="244"/>
      <c r="T166" s="244"/>
      <c r="U166" s="244"/>
      <c r="V166" s="247"/>
      <c r="W166" s="247"/>
    </row>
    <row r="167" spans="1:23" ht="12.75">
      <c r="A167" s="243"/>
      <c r="B167" s="243"/>
      <c r="C167" s="244"/>
      <c r="D167" s="243"/>
      <c r="E167" s="245"/>
      <c r="F167" s="246"/>
      <c r="G167" s="244"/>
      <c r="H167" s="244"/>
      <c r="I167" s="244"/>
      <c r="J167" s="244"/>
      <c r="K167" s="244"/>
      <c r="L167" s="244"/>
      <c r="M167" s="244"/>
      <c r="N167" s="244"/>
      <c r="O167" s="244"/>
      <c r="P167" s="244"/>
      <c r="Q167" s="244"/>
      <c r="R167" s="244"/>
      <c r="S167" s="244"/>
      <c r="T167" s="244"/>
      <c r="U167" s="244"/>
      <c r="V167" s="247"/>
      <c r="W167" s="247"/>
    </row>
    <row r="168" spans="1:23" ht="12.75">
      <c r="A168" s="243"/>
      <c r="B168" s="243"/>
      <c r="C168" s="244"/>
      <c r="D168" s="243"/>
      <c r="E168" s="245"/>
      <c r="F168" s="246"/>
      <c r="G168" s="244"/>
      <c r="H168" s="244"/>
      <c r="I168" s="244"/>
      <c r="J168" s="244"/>
      <c r="K168" s="244"/>
      <c r="L168" s="244"/>
      <c r="M168" s="244"/>
      <c r="N168" s="244"/>
      <c r="O168" s="244"/>
      <c r="P168" s="244"/>
      <c r="Q168" s="244"/>
      <c r="R168" s="244"/>
      <c r="S168" s="244"/>
      <c r="T168" s="244"/>
      <c r="U168" s="244"/>
      <c r="V168" s="247"/>
      <c r="W168" s="247"/>
    </row>
    <row r="169" spans="1:23" ht="12.75">
      <c r="A169" s="243"/>
      <c r="B169" s="243"/>
      <c r="C169" s="244"/>
      <c r="D169" s="243"/>
      <c r="E169" s="245"/>
      <c r="F169" s="246"/>
      <c r="G169" s="244"/>
      <c r="H169" s="244"/>
      <c r="I169" s="244"/>
      <c r="J169" s="244"/>
      <c r="K169" s="244"/>
      <c r="L169" s="244"/>
      <c r="M169" s="244"/>
      <c r="N169" s="244"/>
      <c r="O169" s="244"/>
      <c r="P169" s="244"/>
      <c r="Q169" s="244"/>
      <c r="R169" s="244"/>
      <c r="S169" s="244"/>
      <c r="T169" s="244"/>
      <c r="U169" s="244"/>
      <c r="V169" s="247"/>
      <c r="W169" s="247"/>
    </row>
    <row r="170" spans="1:23" ht="12.75">
      <c r="A170" s="243"/>
      <c r="B170" s="243"/>
      <c r="C170" s="244"/>
      <c r="D170" s="243"/>
      <c r="E170" s="245"/>
      <c r="F170" s="246"/>
      <c r="G170" s="244"/>
      <c r="H170" s="244"/>
      <c r="I170" s="244"/>
      <c r="J170" s="244"/>
      <c r="K170" s="244"/>
      <c r="L170" s="244"/>
      <c r="M170" s="244"/>
      <c r="N170" s="244"/>
      <c r="O170" s="244"/>
      <c r="P170" s="244"/>
      <c r="Q170" s="244"/>
      <c r="R170" s="244"/>
      <c r="S170" s="244"/>
      <c r="T170" s="244"/>
      <c r="U170" s="244"/>
      <c r="V170" s="247"/>
      <c r="W170" s="247"/>
    </row>
    <row r="171" spans="1:23" ht="12.75">
      <c r="A171" s="243"/>
      <c r="B171" s="243"/>
      <c r="C171" s="244"/>
      <c r="D171" s="243"/>
      <c r="E171" s="245"/>
      <c r="F171" s="246"/>
      <c r="G171" s="244"/>
      <c r="H171" s="244"/>
      <c r="I171" s="244"/>
      <c r="J171" s="244"/>
      <c r="K171" s="244"/>
      <c r="L171" s="244"/>
      <c r="M171" s="244"/>
      <c r="N171" s="244"/>
      <c r="O171" s="244"/>
      <c r="P171" s="244"/>
      <c r="Q171" s="244"/>
      <c r="R171" s="244"/>
      <c r="S171" s="244"/>
      <c r="T171" s="244"/>
      <c r="U171" s="244"/>
      <c r="V171" s="247"/>
      <c r="W171" s="247"/>
    </row>
    <row r="172" spans="1:23" ht="12.75">
      <c r="A172" s="243"/>
      <c r="B172" s="243"/>
      <c r="C172" s="244"/>
      <c r="D172" s="243"/>
      <c r="E172" s="245"/>
      <c r="F172" s="246"/>
      <c r="G172" s="244"/>
      <c r="H172" s="244"/>
      <c r="I172" s="244"/>
      <c r="J172" s="244"/>
      <c r="K172" s="244"/>
      <c r="L172" s="244"/>
      <c r="M172" s="244"/>
      <c r="N172" s="244"/>
      <c r="O172" s="244"/>
      <c r="P172" s="244"/>
      <c r="Q172" s="244"/>
      <c r="R172" s="244"/>
      <c r="S172" s="244"/>
      <c r="T172" s="244"/>
      <c r="U172" s="244"/>
      <c r="V172" s="247"/>
      <c r="W172" s="247"/>
    </row>
    <row r="173" spans="1:23" ht="12.75">
      <c r="A173" s="243"/>
      <c r="B173" s="243"/>
      <c r="C173" s="244"/>
      <c r="D173" s="243"/>
      <c r="E173" s="245"/>
      <c r="F173" s="246"/>
      <c r="G173" s="244"/>
      <c r="H173" s="244"/>
      <c r="I173" s="244"/>
      <c r="J173" s="244"/>
      <c r="K173" s="244"/>
      <c r="L173" s="244"/>
      <c r="M173" s="244"/>
      <c r="N173" s="244"/>
      <c r="O173" s="244"/>
      <c r="P173" s="244"/>
      <c r="Q173" s="244"/>
      <c r="R173" s="244"/>
      <c r="S173" s="244"/>
      <c r="T173" s="244"/>
      <c r="U173" s="244"/>
      <c r="V173" s="247"/>
      <c r="W173" s="247"/>
    </row>
    <row r="174" spans="1:23" ht="12.75">
      <c r="A174" s="243"/>
      <c r="B174" s="243"/>
      <c r="C174" s="244"/>
      <c r="D174" s="243"/>
      <c r="E174" s="245"/>
      <c r="F174" s="246"/>
      <c r="G174" s="244"/>
      <c r="H174" s="244"/>
      <c r="I174" s="244"/>
      <c r="J174" s="244"/>
      <c r="K174" s="244"/>
      <c r="L174" s="244"/>
      <c r="M174" s="244"/>
      <c r="N174" s="244"/>
      <c r="O174" s="244"/>
      <c r="P174" s="244"/>
      <c r="Q174" s="244"/>
      <c r="R174" s="244"/>
      <c r="S174" s="244"/>
      <c r="T174" s="244"/>
      <c r="U174" s="244"/>
      <c r="V174" s="247"/>
      <c r="W174" s="247"/>
    </row>
    <row r="175" spans="1:23" ht="12.75">
      <c r="A175" s="243"/>
      <c r="B175" s="243"/>
      <c r="C175" s="244"/>
      <c r="D175" s="243"/>
      <c r="E175" s="245"/>
      <c r="F175" s="246"/>
      <c r="G175" s="244"/>
      <c r="H175" s="244"/>
      <c r="I175" s="244"/>
      <c r="J175" s="244"/>
      <c r="K175" s="244"/>
      <c r="L175" s="244"/>
      <c r="M175" s="244"/>
      <c r="N175" s="244"/>
      <c r="O175" s="244"/>
      <c r="P175" s="244"/>
      <c r="Q175" s="244"/>
      <c r="R175" s="244"/>
      <c r="S175" s="244"/>
      <c r="T175" s="244"/>
      <c r="U175" s="244"/>
      <c r="V175" s="247"/>
      <c r="W175" s="247"/>
    </row>
    <row r="176" spans="1:23" ht="12.75">
      <c r="A176" s="243"/>
      <c r="B176" s="243"/>
      <c r="C176" s="244"/>
      <c r="D176" s="243"/>
      <c r="E176" s="245"/>
      <c r="F176" s="246"/>
      <c r="G176" s="244"/>
      <c r="H176" s="244"/>
      <c r="I176" s="244"/>
      <c r="J176" s="244"/>
      <c r="K176" s="244"/>
      <c r="L176" s="244"/>
      <c r="M176" s="244"/>
      <c r="N176" s="244"/>
      <c r="O176" s="244"/>
      <c r="P176" s="244"/>
      <c r="Q176" s="244"/>
      <c r="R176" s="244"/>
      <c r="S176" s="244"/>
      <c r="T176" s="244"/>
      <c r="U176" s="244"/>
      <c r="V176" s="247"/>
      <c r="W176" s="247"/>
    </row>
    <row r="177" spans="1:23" ht="12.75">
      <c r="A177" s="243"/>
      <c r="B177" s="243"/>
      <c r="C177" s="244"/>
      <c r="D177" s="243"/>
      <c r="E177" s="245"/>
      <c r="F177" s="246"/>
      <c r="G177" s="244"/>
      <c r="H177" s="244"/>
      <c r="I177" s="244"/>
      <c r="J177" s="244"/>
      <c r="K177" s="244"/>
      <c r="L177" s="244"/>
      <c r="M177" s="244"/>
      <c r="N177" s="244"/>
      <c r="O177" s="244"/>
      <c r="P177" s="244"/>
      <c r="Q177" s="244"/>
      <c r="R177" s="244"/>
      <c r="S177" s="244"/>
      <c r="T177" s="244"/>
      <c r="U177" s="244"/>
      <c r="V177" s="247"/>
      <c r="W177" s="247"/>
    </row>
    <row r="178" spans="1:23" ht="12.75">
      <c r="A178" s="243"/>
      <c r="B178" s="243"/>
      <c r="C178" s="244"/>
      <c r="D178" s="243"/>
      <c r="E178" s="245"/>
      <c r="F178" s="246"/>
      <c r="G178" s="244"/>
      <c r="H178" s="244"/>
      <c r="I178" s="244"/>
      <c r="J178" s="244"/>
      <c r="K178" s="244"/>
      <c r="L178" s="244"/>
      <c r="M178" s="244"/>
      <c r="N178" s="244"/>
      <c r="O178" s="244"/>
      <c r="P178" s="244"/>
      <c r="Q178" s="244"/>
      <c r="R178" s="244"/>
      <c r="S178" s="244"/>
      <c r="T178" s="244"/>
      <c r="U178" s="244"/>
      <c r="V178" s="247"/>
      <c r="W178" s="247"/>
    </row>
    <row r="179" spans="1:23" ht="12.75">
      <c r="A179" s="243"/>
      <c r="B179" s="243"/>
      <c r="C179" s="244"/>
      <c r="D179" s="243"/>
      <c r="E179" s="245"/>
      <c r="F179" s="246"/>
      <c r="G179" s="244"/>
      <c r="H179" s="244"/>
      <c r="I179" s="244"/>
      <c r="J179" s="244"/>
      <c r="K179" s="244"/>
      <c r="L179" s="244"/>
      <c r="M179" s="244"/>
      <c r="N179" s="244"/>
      <c r="O179" s="244"/>
      <c r="P179" s="244"/>
      <c r="Q179" s="244"/>
      <c r="R179" s="244"/>
      <c r="S179" s="244"/>
      <c r="T179" s="244"/>
      <c r="U179" s="244"/>
      <c r="V179" s="247"/>
      <c r="W179" s="247"/>
    </row>
    <row r="180" spans="1:23" ht="12.75">
      <c r="A180" s="243"/>
      <c r="B180" s="243"/>
      <c r="C180" s="244"/>
      <c r="D180" s="243"/>
      <c r="E180" s="245"/>
      <c r="F180" s="246"/>
      <c r="G180" s="244"/>
      <c r="H180" s="244"/>
      <c r="I180" s="244"/>
      <c r="J180" s="244"/>
      <c r="K180" s="244"/>
      <c r="L180" s="244"/>
      <c r="M180" s="244"/>
      <c r="N180" s="244"/>
      <c r="O180" s="244"/>
      <c r="P180" s="244"/>
      <c r="Q180" s="244"/>
      <c r="R180" s="244"/>
      <c r="S180" s="244"/>
      <c r="T180" s="244"/>
      <c r="U180" s="244"/>
      <c r="V180" s="247"/>
      <c r="W180" s="247"/>
    </row>
    <row r="181" spans="1:23" ht="12.75">
      <c r="A181" s="243"/>
      <c r="B181" s="243"/>
      <c r="C181" s="244"/>
      <c r="D181" s="243"/>
      <c r="E181" s="245"/>
      <c r="F181" s="246"/>
      <c r="G181" s="244"/>
      <c r="H181" s="244"/>
      <c r="I181" s="244"/>
      <c r="J181" s="244"/>
      <c r="K181" s="244"/>
      <c r="L181" s="244"/>
      <c r="M181" s="244"/>
      <c r="N181" s="244"/>
      <c r="O181" s="244"/>
      <c r="P181" s="244"/>
      <c r="Q181" s="244"/>
      <c r="R181" s="244"/>
      <c r="S181" s="244"/>
      <c r="T181" s="244"/>
      <c r="U181" s="244"/>
      <c r="V181" s="247"/>
      <c r="W181" s="247"/>
    </row>
    <row r="182" spans="1:23" ht="12.75">
      <c r="A182" s="243"/>
      <c r="B182" s="243"/>
      <c r="C182" s="244"/>
      <c r="D182" s="243"/>
      <c r="E182" s="245"/>
      <c r="F182" s="246"/>
      <c r="G182" s="244"/>
      <c r="H182" s="244"/>
      <c r="I182" s="244"/>
      <c r="J182" s="244"/>
      <c r="K182" s="244"/>
      <c r="L182" s="244"/>
      <c r="M182" s="244"/>
      <c r="N182" s="244"/>
      <c r="O182" s="244"/>
      <c r="P182" s="244"/>
      <c r="Q182" s="244"/>
      <c r="R182" s="244"/>
      <c r="S182" s="244"/>
      <c r="T182" s="244"/>
      <c r="U182" s="244"/>
      <c r="V182" s="247"/>
      <c r="W182" s="247"/>
    </row>
    <row r="183" spans="1:23" ht="12.75">
      <c r="A183" s="243"/>
      <c r="B183" s="243"/>
      <c r="C183" s="244"/>
      <c r="D183" s="243"/>
      <c r="E183" s="245"/>
      <c r="F183" s="246"/>
      <c r="G183" s="244"/>
      <c r="H183" s="244"/>
      <c r="I183" s="244"/>
      <c r="J183" s="244"/>
      <c r="K183" s="244"/>
      <c r="L183" s="244"/>
      <c r="M183" s="244"/>
      <c r="N183" s="244"/>
      <c r="O183" s="244"/>
      <c r="P183" s="244"/>
      <c r="Q183" s="244"/>
      <c r="R183" s="244"/>
      <c r="S183" s="244"/>
      <c r="T183" s="244"/>
      <c r="U183" s="244"/>
      <c r="V183" s="247"/>
      <c r="W183" s="247"/>
    </row>
    <row r="184" spans="1:23" ht="12.75">
      <c r="A184" s="243"/>
      <c r="B184" s="243"/>
      <c r="C184" s="244"/>
      <c r="D184" s="243"/>
      <c r="E184" s="245"/>
      <c r="F184" s="246"/>
      <c r="G184" s="244"/>
      <c r="H184" s="244"/>
      <c r="I184" s="244"/>
      <c r="J184" s="244"/>
      <c r="K184" s="244"/>
      <c r="L184" s="244"/>
      <c r="M184" s="244"/>
      <c r="N184" s="244"/>
      <c r="O184" s="244"/>
      <c r="P184" s="244"/>
      <c r="Q184" s="244"/>
      <c r="R184" s="244"/>
      <c r="S184" s="244"/>
      <c r="T184" s="244"/>
      <c r="U184" s="244"/>
      <c r="V184" s="247"/>
      <c r="W184" s="247"/>
    </row>
    <row r="185" spans="1:23" ht="12.75">
      <c r="A185" s="243"/>
      <c r="B185" s="243"/>
      <c r="C185" s="244"/>
      <c r="D185" s="243"/>
      <c r="E185" s="245"/>
      <c r="F185" s="246"/>
      <c r="G185" s="244"/>
      <c r="H185" s="244"/>
      <c r="I185" s="244"/>
      <c r="J185" s="244"/>
      <c r="K185" s="244"/>
      <c r="L185" s="244"/>
      <c r="M185" s="244"/>
      <c r="N185" s="244"/>
      <c r="O185" s="244"/>
      <c r="P185" s="244"/>
      <c r="Q185" s="244"/>
      <c r="R185" s="244"/>
      <c r="S185" s="244"/>
      <c r="T185" s="244"/>
      <c r="U185" s="244"/>
      <c r="V185" s="247"/>
      <c r="W185" s="247"/>
    </row>
    <row r="186" spans="1:23" ht="12.75">
      <c r="A186" s="243"/>
      <c r="B186" s="243"/>
      <c r="C186" s="244"/>
      <c r="D186" s="243"/>
      <c r="E186" s="245"/>
      <c r="F186" s="246"/>
      <c r="G186" s="244"/>
      <c r="H186" s="244"/>
      <c r="I186" s="244"/>
      <c r="J186" s="244"/>
      <c r="K186" s="244"/>
      <c r="L186" s="244"/>
      <c r="M186" s="244"/>
      <c r="N186" s="244"/>
      <c r="O186" s="244"/>
      <c r="P186" s="244"/>
      <c r="Q186" s="244"/>
      <c r="R186" s="244"/>
      <c r="S186" s="244"/>
      <c r="T186" s="244"/>
      <c r="U186" s="244"/>
      <c r="V186" s="247"/>
      <c r="W186" s="247"/>
    </row>
    <row r="187" spans="1:23" ht="12.75">
      <c r="A187" s="243"/>
      <c r="B187" s="243"/>
      <c r="C187" s="244"/>
      <c r="D187" s="243"/>
      <c r="E187" s="245"/>
      <c r="F187" s="246"/>
      <c r="G187" s="244"/>
      <c r="H187" s="244"/>
      <c r="I187" s="244"/>
      <c r="J187" s="244"/>
      <c r="K187" s="244"/>
      <c r="L187" s="244"/>
      <c r="M187" s="244"/>
      <c r="N187" s="244"/>
      <c r="O187" s="244"/>
      <c r="P187" s="244"/>
      <c r="Q187" s="244"/>
      <c r="R187" s="244"/>
      <c r="S187" s="244"/>
      <c r="T187" s="244"/>
      <c r="U187" s="244"/>
      <c r="V187" s="247"/>
      <c r="W187" s="247"/>
    </row>
    <row r="188" spans="1:23" ht="12.75">
      <c r="A188" s="243"/>
      <c r="B188" s="243"/>
      <c r="C188" s="244"/>
      <c r="D188" s="243"/>
      <c r="E188" s="245"/>
      <c r="F188" s="246"/>
      <c r="G188" s="244"/>
      <c r="H188" s="244"/>
      <c r="I188" s="244"/>
      <c r="J188" s="244"/>
      <c r="K188" s="244"/>
      <c r="L188" s="244"/>
      <c r="M188" s="244"/>
      <c r="N188" s="244"/>
      <c r="O188" s="244"/>
      <c r="P188" s="244"/>
      <c r="Q188" s="244"/>
      <c r="R188" s="244"/>
      <c r="S188" s="244"/>
      <c r="T188" s="244"/>
      <c r="U188" s="244"/>
      <c r="V188" s="247"/>
      <c r="W188" s="247"/>
    </row>
    <row r="189" spans="1:23" ht="12.75">
      <c r="A189" s="243"/>
      <c r="B189" s="243"/>
      <c r="C189" s="244"/>
      <c r="D189" s="243"/>
      <c r="E189" s="245"/>
      <c r="F189" s="246"/>
      <c r="G189" s="244"/>
      <c r="H189" s="244"/>
      <c r="I189" s="244"/>
      <c r="J189" s="244"/>
      <c r="K189" s="244"/>
      <c r="L189" s="244"/>
      <c r="M189" s="244"/>
      <c r="N189" s="244"/>
      <c r="O189" s="244"/>
      <c r="P189" s="244"/>
      <c r="Q189" s="244"/>
      <c r="R189" s="244"/>
      <c r="S189" s="244"/>
      <c r="T189" s="244"/>
      <c r="U189" s="244"/>
      <c r="V189" s="247"/>
      <c r="W189" s="247"/>
    </row>
    <row r="190" spans="1:23" ht="12.75">
      <c r="A190" s="243"/>
      <c r="B190" s="243"/>
      <c r="C190" s="244"/>
      <c r="D190" s="243"/>
      <c r="E190" s="245"/>
      <c r="F190" s="246"/>
      <c r="G190" s="244"/>
      <c r="H190" s="244"/>
      <c r="I190" s="244"/>
      <c r="J190" s="244"/>
      <c r="K190" s="244"/>
      <c r="L190" s="244"/>
      <c r="M190" s="244"/>
      <c r="N190" s="244"/>
      <c r="O190" s="244"/>
      <c r="P190" s="244"/>
      <c r="Q190" s="244"/>
      <c r="R190" s="244"/>
      <c r="S190" s="244"/>
      <c r="T190" s="244"/>
      <c r="U190" s="244"/>
      <c r="V190" s="247"/>
      <c r="W190" s="247"/>
    </row>
    <row r="191" spans="1:23" ht="12.75">
      <c r="A191" s="243"/>
      <c r="B191" s="243"/>
      <c r="C191" s="244"/>
      <c r="D191" s="243"/>
      <c r="E191" s="245"/>
      <c r="F191" s="246"/>
      <c r="G191" s="244"/>
      <c r="H191" s="244"/>
      <c r="I191" s="244"/>
      <c r="J191" s="244"/>
      <c r="K191" s="244"/>
      <c r="L191" s="244"/>
      <c r="M191" s="244"/>
      <c r="N191" s="244"/>
      <c r="O191" s="244"/>
      <c r="P191" s="244"/>
      <c r="Q191" s="244"/>
      <c r="R191" s="244"/>
      <c r="S191" s="244"/>
      <c r="T191" s="244"/>
      <c r="U191" s="244"/>
      <c r="V191" s="247"/>
      <c r="W191" s="247"/>
    </row>
    <row r="192" spans="1:23" ht="12.75">
      <c r="A192" s="243"/>
      <c r="B192" s="243"/>
      <c r="C192" s="244"/>
      <c r="D192" s="243"/>
      <c r="E192" s="245"/>
      <c r="F192" s="246"/>
      <c r="G192" s="244"/>
      <c r="H192" s="244"/>
      <c r="I192" s="244"/>
      <c r="J192" s="244"/>
      <c r="K192" s="244"/>
      <c r="L192" s="244"/>
      <c r="M192" s="244"/>
      <c r="N192" s="244"/>
      <c r="O192" s="244"/>
      <c r="P192" s="244"/>
      <c r="Q192" s="244"/>
      <c r="R192" s="244"/>
      <c r="S192" s="244"/>
      <c r="T192" s="244"/>
      <c r="U192" s="244"/>
      <c r="V192" s="247"/>
      <c r="W192" s="247"/>
    </row>
    <row r="193" spans="1:23" ht="12.75">
      <c r="A193" s="243"/>
      <c r="B193" s="243"/>
      <c r="C193" s="244"/>
      <c r="D193" s="243"/>
      <c r="E193" s="245"/>
      <c r="F193" s="246"/>
      <c r="G193" s="244"/>
      <c r="H193" s="244"/>
      <c r="I193" s="244"/>
      <c r="J193" s="244"/>
      <c r="K193" s="244"/>
      <c r="L193" s="244"/>
      <c r="M193" s="244"/>
      <c r="N193" s="244"/>
      <c r="O193" s="244"/>
      <c r="P193" s="244"/>
      <c r="Q193" s="244"/>
      <c r="R193" s="244"/>
      <c r="S193" s="244"/>
      <c r="T193" s="244"/>
      <c r="U193" s="244"/>
      <c r="V193" s="247"/>
      <c r="W193" s="247"/>
    </row>
    <row r="194" spans="1:23" ht="12.75">
      <c r="A194" s="243"/>
      <c r="B194" s="243"/>
      <c r="C194" s="244"/>
      <c r="D194" s="243"/>
      <c r="E194" s="245"/>
      <c r="F194" s="246"/>
      <c r="G194" s="244"/>
      <c r="H194" s="244"/>
      <c r="I194" s="244"/>
      <c r="J194" s="244"/>
      <c r="K194" s="244"/>
      <c r="L194" s="244"/>
      <c r="M194" s="244"/>
      <c r="N194" s="244"/>
      <c r="O194" s="244"/>
      <c r="P194" s="244"/>
      <c r="Q194" s="244"/>
      <c r="R194" s="244"/>
      <c r="S194" s="244"/>
      <c r="T194" s="244"/>
      <c r="U194" s="244"/>
      <c r="V194" s="247"/>
      <c r="W194" s="247"/>
    </row>
    <row r="195" spans="1:23" ht="12.75">
      <c r="A195" s="243"/>
      <c r="B195" s="243"/>
      <c r="C195" s="244"/>
      <c r="D195" s="243"/>
      <c r="E195" s="245"/>
      <c r="F195" s="246"/>
      <c r="G195" s="244"/>
      <c r="H195" s="244"/>
      <c r="I195" s="244"/>
      <c r="J195" s="244"/>
      <c r="K195" s="244"/>
      <c r="L195" s="244"/>
      <c r="M195" s="244"/>
      <c r="N195" s="244"/>
      <c r="O195" s="244"/>
      <c r="P195" s="244"/>
      <c r="Q195" s="244"/>
      <c r="R195" s="244"/>
      <c r="S195" s="244"/>
      <c r="T195" s="244"/>
      <c r="U195" s="244"/>
      <c r="V195" s="247"/>
      <c r="W195" s="247"/>
    </row>
    <row r="196" spans="1:23" ht="12.75">
      <c r="A196" s="243"/>
      <c r="B196" s="243"/>
      <c r="C196" s="244"/>
      <c r="D196" s="243"/>
      <c r="E196" s="245"/>
      <c r="F196" s="246"/>
      <c r="G196" s="244"/>
      <c r="H196" s="244"/>
      <c r="I196" s="244"/>
      <c r="J196" s="244"/>
      <c r="K196" s="244"/>
      <c r="L196" s="244"/>
      <c r="M196" s="244"/>
      <c r="N196" s="244"/>
      <c r="O196" s="244"/>
      <c r="P196" s="244"/>
      <c r="Q196" s="244"/>
      <c r="R196" s="244"/>
      <c r="S196" s="244"/>
      <c r="T196" s="244"/>
      <c r="U196" s="244"/>
      <c r="V196" s="247"/>
      <c r="W196" s="247"/>
    </row>
    <row r="197" spans="1:23" ht="12.75">
      <c r="A197" s="243"/>
      <c r="B197" s="243"/>
      <c r="C197" s="244"/>
      <c r="D197" s="243"/>
      <c r="E197" s="245"/>
      <c r="F197" s="246"/>
      <c r="G197" s="244"/>
      <c r="H197" s="244"/>
      <c r="I197" s="244"/>
      <c r="J197" s="244"/>
      <c r="K197" s="244"/>
      <c r="L197" s="244"/>
      <c r="M197" s="244"/>
      <c r="N197" s="244"/>
      <c r="O197" s="244"/>
      <c r="P197" s="244"/>
      <c r="Q197" s="244"/>
      <c r="R197" s="244"/>
      <c r="S197" s="244"/>
      <c r="T197" s="244"/>
      <c r="U197" s="244"/>
      <c r="V197" s="247"/>
      <c r="W197" s="247"/>
    </row>
    <row r="198" spans="1:23" ht="12.75">
      <c r="A198" s="243"/>
      <c r="B198" s="243"/>
      <c r="C198" s="244"/>
      <c r="D198" s="243"/>
      <c r="E198" s="245"/>
      <c r="F198" s="246"/>
      <c r="G198" s="244"/>
      <c r="H198" s="244"/>
      <c r="I198" s="244"/>
      <c r="J198" s="244"/>
      <c r="K198" s="244"/>
      <c r="L198" s="244"/>
      <c r="M198" s="244"/>
      <c r="N198" s="244"/>
      <c r="O198" s="244"/>
      <c r="P198" s="244"/>
      <c r="Q198" s="244"/>
      <c r="R198" s="244"/>
      <c r="S198" s="244"/>
      <c r="T198" s="244"/>
      <c r="U198" s="244"/>
      <c r="V198" s="247"/>
      <c r="W198" s="247"/>
    </row>
    <row r="199" spans="1:23" ht="12.75">
      <c r="A199" s="243"/>
      <c r="B199" s="243"/>
      <c r="C199" s="244"/>
      <c r="D199" s="243"/>
      <c r="E199" s="245"/>
      <c r="F199" s="246"/>
      <c r="G199" s="244"/>
      <c r="H199" s="244"/>
      <c r="I199" s="244"/>
      <c r="J199" s="244"/>
      <c r="K199" s="244"/>
      <c r="L199" s="244"/>
      <c r="M199" s="244"/>
      <c r="N199" s="244"/>
      <c r="O199" s="244"/>
      <c r="P199" s="244"/>
      <c r="Q199" s="244"/>
      <c r="R199" s="244"/>
      <c r="S199" s="244"/>
      <c r="T199" s="244"/>
      <c r="U199" s="244"/>
      <c r="V199" s="247"/>
      <c r="W199" s="247"/>
    </row>
    <row r="200" spans="1:23" ht="12.75">
      <c r="A200" s="243"/>
      <c r="B200" s="243"/>
      <c r="C200" s="244"/>
      <c r="D200" s="243"/>
      <c r="E200" s="245"/>
      <c r="F200" s="246"/>
      <c r="G200" s="244"/>
      <c r="H200" s="244"/>
      <c r="I200" s="244"/>
      <c r="J200" s="244"/>
      <c r="K200" s="244"/>
      <c r="L200" s="244"/>
      <c r="M200" s="244"/>
      <c r="N200" s="244"/>
      <c r="O200" s="244"/>
      <c r="P200" s="244"/>
      <c r="Q200" s="244"/>
      <c r="R200" s="244"/>
      <c r="S200" s="244"/>
      <c r="T200" s="244"/>
      <c r="U200" s="244"/>
      <c r="V200" s="247"/>
      <c r="W200" s="247"/>
    </row>
    <row r="201" spans="1:23" ht="12.75">
      <c r="A201" s="243"/>
      <c r="B201" s="243"/>
      <c r="C201" s="244"/>
      <c r="D201" s="243"/>
      <c r="E201" s="245"/>
      <c r="F201" s="246"/>
      <c r="G201" s="244"/>
      <c r="H201" s="244"/>
      <c r="I201" s="244"/>
      <c r="J201" s="244"/>
      <c r="K201" s="244"/>
      <c r="L201" s="244"/>
      <c r="M201" s="244"/>
      <c r="N201" s="244"/>
      <c r="O201" s="244"/>
      <c r="P201" s="244"/>
      <c r="Q201" s="244"/>
      <c r="R201" s="244"/>
      <c r="S201" s="244"/>
      <c r="T201" s="244"/>
      <c r="U201" s="244"/>
      <c r="V201" s="247"/>
      <c r="W201" s="247"/>
    </row>
    <row r="202" spans="1:23" ht="12.75">
      <c r="A202" s="243"/>
      <c r="B202" s="243"/>
      <c r="C202" s="244"/>
      <c r="D202" s="243"/>
      <c r="E202" s="245"/>
      <c r="F202" s="246"/>
      <c r="G202" s="244"/>
      <c r="H202" s="244"/>
      <c r="I202" s="244"/>
      <c r="J202" s="244"/>
      <c r="K202" s="244"/>
      <c r="L202" s="244"/>
      <c r="M202" s="244"/>
      <c r="N202" s="244"/>
      <c r="O202" s="244"/>
      <c r="P202" s="244"/>
      <c r="Q202" s="244"/>
      <c r="R202" s="244"/>
      <c r="S202" s="244"/>
      <c r="T202" s="244"/>
      <c r="U202" s="244"/>
      <c r="V202" s="247"/>
      <c r="W202" s="247"/>
    </row>
    <row r="203" spans="1:23" ht="12.75">
      <c r="A203" s="243"/>
      <c r="B203" s="243"/>
      <c r="C203" s="244"/>
      <c r="D203" s="243"/>
      <c r="E203" s="245"/>
      <c r="F203" s="246"/>
      <c r="G203" s="244"/>
      <c r="H203" s="244"/>
      <c r="I203" s="244"/>
      <c r="J203" s="244"/>
      <c r="K203" s="244"/>
      <c r="L203" s="244"/>
      <c r="M203" s="244"/>
      <c r="N203" s="244"/>
      <c r="O203" s="244"/>
      <c r="P203" s="244"/>
      <c r="Q203" s="244"/>
      <c r="R203" s="244"/>
      <c r="S203" s="244"/>
      <c r="T203" s="244"/>
      <c r="U203" s="244"/>
      <c r="V203" s="247"/>
      <c r="W203" s="247"/>
    </row>
    <row r="204" spans="1:23" ht="12.75">
      <c r="A204" s="243"/>
      <c r="B204" s="243"/>
      <c r="C204" s="244"/>
      <c r="D204" s="243"/>
      <c r="E204" s="245"/>
      <c r="F204" s="246"/>
      <c r="G204" s="244"/>
      <c r="H204" s="244"/>
      <c r="I204" s="244"/>
      <c r="J204" s="244"/>
      <c r="K204" s="244"/>
      <c r="L204" s="244"/>
      <c r="M204" s="244"/>
      <c r="N204" s="244"/>
      <c r="O204" s="244"/>
      <c r="P204" s="244"/>
      <c r="Q204" s="244"/>
      <c r="R204" s="244"/>
      <c r="S204" s="244"/>
      <c r="T204" s="244"/>
      <c r="U204" s="244"/>
      <c r="V204" s="247"/>
      <c r="W204" s="247"/>
    </row>
    <row r="205" spans="1:23" ht="12.75">
      <c r="A205" s="243"/>
      <c r="B205" s="243"/>
      <c r="C205" s="244"/>
      <c r="D205" s="243"/>
      <c r="E205" s="245"/>
      <c r="F205" s="246"/>
      <c r="G205" s="244"/>
      <c r="H205" s="244"/>
      <c r="I205" s="244"/>
      <c r="J205" s="244"/>
      <c r="K205" s="244"/>
      <c r="L205" s="244"/>
      <c r="M205" s="244"/>
      <c r="N205" s="244"/>
      <c r="O205" s="244"/>
      <c r="P205" s="244"/>
      <c r="Q205" s="244"/>
      <c r="R205" s="244"/>
      <c r="S205" s="244"/>
      <c r="T205" s="244"/>
      <c r="U205" s="244"/>
      <c r="V205" s="247"/>
      <c r="W205" s="247"/>
    </row>
    <row r="206" spans="1:23" ht="12.75">
      <c r="A206" s="243"/>
      <c r="B206" s="243"/>
      <c r="C206" s="244"/>
      <c r="D206" s="243"/>
      <c r="E206" s="245"/>
      <c r="F206" s="246"/>
      <c r="G206" s="244"/>
      <c r="H206" s="244"/>
      <c r="I206" s="244"/>
      <c r="J206" s="244"/>
      <c r="K206" s="244"/>
      <c r="L206" s="244"/>
      <c r="M206" s="244"/>
      <c r="N206" s="244"/>
      <c r="O206" s="244"/>
      <c r="P206" s="244"/>
      <c r="Q206" s="244"/>
      <c r="R206" s="244"/>
      <c r="S206" s="244"/>
      <c r="T206" s="244"/>
      <c r="U206" s="244"/>
      <c r="V206" s="247"/>
      <c r="W206" s="247"/>
    </row>
    <row r="207" spans="1:23" ht="12.75">
      <c r="A207" s="243"/>
      <c r="B207" s="243"/>
      <c r="C207" s="244"/>
      <c r="D207" s="243"/>
      <c r="E207" s="245"/>
      <c r="F207" s="246"/>
      <c r="G207" s="244"/>
      <c r="H207" s="244"/>
      <c r="I207" s="244"/>
      <c r="J207" s="244"/>
      <c r="K207" s="244"/>
      <c r="L207" s="244"/>
      <c r="M207" s="244"/>
      <c r="N207" s="244"/>
      <c r="O207" s="244"/>
      <c r="P207" s="244"/>
      <c r="Q207" s="244"/>
      <c r="R207" s="244"/>
      <c r="S207" s="244"/>
      <c r="T207" s="244"/>
      <c r="U207" s="244"/>
      <c r="V207" s="247"/>
      <c r="W207" s="247"/>
    </row>
    <row r="208" spans="1:23" ht="12.75">
      <c r="A208" s="243"/>
      <c r="B208" s="243"/>
      <c r="C208" s="244"/>
      <c r="D208" s="243"/>
      <c r="E208" s="245"/>
      <c r="F208" s="246"/>
      <c r="G208" s="244"/>
      <c r="H208" s="244"/>
      <c r="I208" s="244"/>
      <c r="J208" s="244"/>
      <c r="K208" s="244"/>
      <c r="L208" s="244"/>
      <c r="M208" s="244"/>
      <c r="N208" s="244"/>
      <c r="O208" s="244"/>
      <c r="P208" s="244"/>
      <c r="Q208" s="244"/>
      <c r="R208" s="244"/>
      <c r="S208" s="244"/>
      <c r="T208" s="244"/>
      <c r="U208" s="244"/>
      <c r="V208" s="247"/>
      <c r="W208" s="247"/>
    </row>
    <row r="209" spans="1:23" ht="12.75">
      <c r="A209" s="243"/>
      <c r="B209" s="243"/>
      <c r="C209" s="244"/>
      <c r="D209" s="243"/>
      <c r="E209" s="245"/>
      <c r="F209" s="246"/>
      <c r="G209" s="244"/>
      <c r="H209" s="244"/>
      <c r="I209" s="244"/>
      <c r="J209" s="244"/>
      <c r="K209" s="244"/>
      <c r="L209" s="244"/>
      <c r="M209" s="244"/>
      <c r="N209" s="244"/>
      <c r="O209" s="244"/>
      <c r="P209" s="244"/>
      <c r="Q209" s="244"/>
      <c r="R209" s="244"/>
      <c r="S209" s="244"/>
      <c r="T209" s="244"/>
      <c r="U209" s="244"/>
      <c r="V209" s="247"/>
      <c r="W209" s="247"/>
    </row>
    <row r="210" spans="1:23" ht="12.75">
      <c r="A210" s="243"/>
      <c r="B210" s="243"/>
      <c r="C210" s="244"/>
      <c r="D210" s="243"/>
      <c r="E210" s="245"/>
      <c r="F210" s="246"/>
      <c r="G210" s="244"/>
      <c r="H210" s="244"/>
      <c r="I210" s="244"/>
      <c r="J210" s="244"/>
      <c r="K210" s="244"/>
      <c r="L210" s="244"/>
      <c r="M210" s="244"/>
      <c r="N210" s="244"/>
      <c r="O210" s="244"/>
      <c r="P210" s="244"/>
      <c r="Q210" s="244"/>
      <c r="R210" s="244"/>
      <c r="S210" s="244"/>
      <c r="T210" s="244"/>
      <c r="U210" s="244"/>
      <c r="V210" s="247"/>
      <c r="W210" s="247"/>
    </row>
    <row r="211" spans="1:23" ht="12.75">
      <c r="A211" s="243"/>
      <c r="B211" s="243"/>
      <c r="C211" s="244"/>
      <c r="D211" s="243"/>
      <c r="E211" s="245"/>
      <c r="F211" s="246"/>
      <c r="G211" s="244"/>
      <c r="H211" s="244"/>
      <c r="I211" s="244"/>
      <c r="J211" s="244"/>
      <c r="K211" s="244"/>
      <c r="L211" s="244"/>
      <c r="M211" s="244"/>
      <c r="N211" s="244"/>
      <c r="O211" s="244"/>
      <c r="P211" s="244"/>
      <c r="Q211" s="244"/>
      <c r="R211" s="244"/>
      <c r="S211" s="244"/>
      <c r="T211" s="244"/>
      <c r="U211" s="244"/>
      <c r="V211" s="247"/>
      <c r="W211" s="247"/>
    </row>
    <row r="212" spans="1:23" ht="12.75">
      <c r="A212" s="243"/>
      <c r="B212" s="243"/>
      <c r="C212" s="244"/>
      <c r="D212" s="243"/>
      <c r="E212" s="245"/>
      <c r="F212" s="246"/>
      <c r="G212" s="244"/>
      <c r="H212" s="244"/>
      <c r="I212" s="244"/>
      <c r="J212" s="244"/>
      <c r="K212" s="244"/>
      <c r="L212" s="244"/>
      <c r="M212" s="244"/>
      <c r="N212" s="244"/>
      <c r="O212" s="244"/>
      <c r="P212" s="244"/>
      <c r="Q212" s="244"/>
      <c r="R212" s="244"/>
      <c r="S212" s="244"/>
      <c r="T212" s="244"/>
      <c r="U212" s="244"/>
      <c r="V212" s="247"/>
      <c r="W212" s="247"/>
    </row>
    <row r="213" spans="1:23" ht="12.75">
      <c r="A213" s="243"/>
      <c r="B213" s="243"/>
      <c r="C213" s="244"/>
      <c r="D213" s="243"/>
      <c r="E213" s="245"/>
      <c r="F213" s="246"/>
      <c r="G213" s="244"/>
      <c r="H213" s="244"/>
      <c r="I213" s="244"/>
      <c r="J213" s="244"/>
      <c r="K213" s="244"/>
      <c r="L213" s="244"/>
      <c r="M213" s="244"/>
      <c r="N213" s="244"/>
      <c r="O213" s="244"/>
      <c r="P213" s="244"/>
      <c r="Q213" s="244"/>
      <c r="R213" s="244"/>
      <c r="S213" s="244"/>
      <c r="T213" s="244"/>
      <c r="U213" s="244"/>
      <c r="V213" s="247"/>
      <c r="W213" s="247"/>
    </row>
    <row r="214" spans="1:23" ht="12.75">
      <c r="A214" s="243"/>
      <c r="B214" s="243"/>
      <c r="C214" s="244"/>
      <c r="D214" s="243"/>
      <c r="E214" s="245"/>
      <c r="F214" s="246"/>
      <c r="G214" s="244"/>
      <c r="H214" s="244"/>
      <c r="I214" s="244"/>
      <c r="J214" s="244"/>
      <c r="K214" s="244"/>
      <c r="L214" s="244"/>
      <c r="M214" s="244"/>
      <c r="N214" s="244"/>
      <c r="O214" s="244"/>
      <c r="P214" s="244"/>
      <c r="Q214" s="244"/>
      <c r="R214" s="244"/>
      <c r="S214" s="244"/>
      <c r="T214" s="244"/>
      <c r="U214" s="244"/>
      <c r="V214" s="247"/>
      <c r="W214" s="247"/>
    </row>
    <row r="215" spans="1:23" ht="12.75">
      <c r="A215" s="243"/>
      <c r="B215" s="243"/>
      <c r="C215" s="244"/>
      <c r="D215" s="243"/>
      <c r="E215" s="245"/>
      <c r="F215" s="246"/>
      <c r="G215" s="244"/>
      <c r="H215" s="244"/>
      <c r="I215" s="244"/>
      <c r="J215" s="244"/>
      <c r="K215" s="244"/>
      <c r="L215" s="244"/>
      <c r="M215" s="244"/>
      <c r="N215" s="244"/>
      <c r="O215" s="244"/>
      <c r="P215" s="244"/>
      <c r="Q215" s="244"/>
      <c r="R215" s="244"/>
      <c r="S215" s="244"/>
      <c r="T215" s="244"/>
      <c r="U215" s="244"/>
      <c r="V215" s="247"/>
      <c r="W215" s="247"/>
    </row>
    <row r="216" spans="1:23" ht="12.75">
      <c r="A216" s="243"/>
      <c r="B216" s="243"/>
      <c r="C216" s="244"/>
      <c r="D216" s="243"/>
      <c r="E216" s="245"/>
      <c r="F216" s="246"/>
      <c r="G216" s="244"/>
      <c r="H216" s="244"/>
      <c r="I216" s="244"/>
      <c r="J216" s="244"/>
      <c r="K216" s="244"/>
      <c r="L216" s="244"/>
      <c r="M216" s="244"/>
      <c r="N216" s="244"/>
      <c r="O216" s="244"/>
      <c r="P216" s="244"/>
      <c r="Q216" s="244"/>
      <c r="R216" s="244"/>
      <c r="S216" s="244"/>
      <c r="T216" s="244"/>
      <c r="U216" s="244"/>
      <c r="V216" s="247"/>
      <c r="W216" s="247"/>
    </row>
    <row r="217" spans="1:23" ht="12.75">
      <c r="A217" s="243"/>
      <c r="B217" s="243"/>
      <c r="C217" s="244"/>
      <c r="D217" s="243"/>
      <c r="E217" s="245"/>
      <c r="F217" s="246"/>
      <c r="G217" s="244"/>
      <c r="H217" s="244"/>
      <c r="I217" s="244"/>
      <c r="J217" s="244"/>
      <c r="K217" s="244"/>
      <c r="L217" s="244"/>
      <c r="M217" s="244"/>
      <c r="N217" s="244"/>
      <c r="O217" s="244"/>
      <c r="P217" s="244"/>
      <c r="Q217" s="244"/>
      <c r="R217" s="244"/>
      <c r="S217" s="244"/>
      <c r="T217" s="244"/>
      <c r="U217" s="244"/>
      <c r="V217" s="247"/>
      <c r="W217" s="247"/>
    </row>
    <row r="218" spans="1:23" ht="12.75">
      <c r="A218" s="243"/>
      <c r="B218" s="243"/>
      <c r="C218" s="244"/>
      <c r="D218" s="243"/>
      <c r="E218" s="245"/>
      <c r="F218" s="246"/>
      <c r="G218" s="244"/>
      <c r="H218" s="244"/>
      <c r="I218" s="244"/>
      <c r="J218" s="244"/>
      <c r="K218" s="244"/>
      <c r="L218" s="244"/>
      <c r="M218" s="244"/>
      <c r="N218" s="244"/>
      <c r="O218" s="244"/>
      <c r="P218" s="244"/>
      <c r="Q218" s="244"/>
      <c r="R218" s="244"/>
      <c r="S218" s="244"/>
      <c r="T218" s="244"/>
      <c r="U218" s="244"/>
      <c r="V218" s="247"/>
      <c r="W218" s="247"/>
    </row>
    <row r="219" spans="1:23" ht="12.75">
      <c r="A219" s="243"/>
      <c r="B219" s="243"/>
      <c r="C219" s="244"/>
      <c r="D219" s="243"/>
      <c r="E219" s="245"/>
      <c r="F219" s="246"/>
      <c r="G219" s="244"/>
      <c r="H219" s="244"/>
      <c r="I219" s="244"/>
      <c r="J219" s="244"/>
      <c r="K219" s="244"/>
      <c r="L219" s="244"/>
      <c r="M219" s="244"/>
      <c r="N219" s="244"/>
      <c r="O219" s="244"/>
      <c r="P219" s="244"/>
      <c r="Q219" s="244"/>
      <c r="R219" s="244"/>
      <c r="S219" s="244"/>
      <c r="T219" s="244"/>
      <c r="U219" s="244"/>
      <c r="V219" s="247"/>
      <c r="W219" s="247"/>
    </row>
    <row r="220" spans="1:23" ht="12.75">
      <c r="A220" s="243"/>
      <c r="B220" s="243"/>
      <c r="C220" s="244"/>
      <c r="D220" s="243"/>
      <c r="E220" s="245"/>
      <c r="F220" s="246"/>
      <c r="G220" s="244"/>
      <c r="H220" s="244"/>
      <c r="I220" s="244"/>
      <c r="J220" s="244"/>
      <c r="K220" s="244"/>
      <c r="L220" s="244"/>
      <c r="M220" s="244"/>
      <c r="N220" s="244"/>
      <c r="O220" s="244"/>
      <c r="P220" s="244"/>
      <c r="Q220" s="244"/>
      <c r="R220" s="244"/>
      <c r="S220" s="244"/>
      <c r="T220" s="244"/>
      <c r="U220" s="244"/>
      <c r="V220" s="247"/>
      <c r="W220" s="247"/>
    </row>
    <row r="221" spans="1:23" ht="12.75">
      <c r="A221" s="243"/>
      <c r="B221" s="243"/>
      <c r="C221" s="244"/>
      <c r="D221" s="243"/>
      <c r="E221" s="245"/>
      <c r="F221" s="246"/>
      <c r="G221" s="244"/>
      <c r="H221" s="244"/>
      <c r="I221" s="244"/>
      <c r="J221" s="244"/>
      <c r="K221" s="244"/>
      <c r="L221" s="244"/>
      <c r="M221" s="244"/>
      <c r="N221" s="244"/>
      <c r="O221" s="244"/>
      <c r="P221" s="244"/>
      <c r="Q221" s="244"/>
      <c r="R221" s="244"/>
      <c r="S221" s="244"/>
      <c r="T221" s="244"/>
      <c r="U221" s="244"/>
      <c r="V221" s="247"/>
      <c r="W221" s="247"/>
    </row>
    <row r="222" spans="1:23" ht="12.75">
      <c r="A222" s="243"/>
      <c r="B222" s="243"/>
      <c r="C222" s="244"/>
      <c r="D222" s="243"/>
      <c r="E222" s="245"/>
      <c r="F222" s="246"/>
      <c r="G222" s="244"/>
      <c r="H222" s="244"/>
      <c r="I222" s="244"/>
      <c r="J222" s="244"/>
      <c r="K222" s="244"/>
      <c r="L222" s="244"/>
      <c r="M222" s="244"/>
      <c r="N222" s="244"/>
      <c r="O222" s="244"/>
      <c r="P222" s="244"/>
      <c r="Q222" s="244"/>
      <c r="R222" s="244"/>
      <c r="S222" s="244"/>
      <c r="T222" s="244"/>
      <c r="U222" s="244"/>
      <c r="V222" s="247"/>
      <c r="W222" s="247"/>
    </row>
    <row r="223" spans="1:23" ht="12.75">
      <c r="A223" s="243"/>
      <c r="B223" s="243"/>
      <c r="C223" s="244"/>
      <c r="D223" s="243"/>
      <c r="E223" s="245"/>
      <c r="F223" s="246"/>
      <c r="G223" s="244"/>
      <c r="H223" s="244"/>
      <c r="I223" s="244"/>
      <c r="J223" s="244"/>
      <c r="K223" s="244"/>
      <c r="L223" s="244"/>
      <c r="M223" s="244"/>
      <c r="N223" s="244"/>
      <c r="O223" s="244"/>
      <c r="P223" s="244"/>
      <c r="Q223" s="244"/>
      <c r="R223" s="244"/>
      <c r="S223" s="244"/>
      <c r="T223" s="244"/>
      <c r="U223" s="244"/>
      <c r="V223" s="247"/>
      <c r="W223" s="247"/>
    </row>
    <row r="224" spans="1:23" ht="12.75">
      <c r="A224" s="243"/>
      <c r="B224" s="243"/>
      <c r="C224" s="244"/>
      <c r="D224" s="243"/>
      <c r="E224" s="245"/>
      <c r="F224" s="246"/>
      <c r="G224" s="244"/>
      <c r="H224" s="244"/>
      <c r="I224" s="244"/>
      <c r="J224" s="244"/>
      <c r="K224" s="244"/>
      <c r="L224" s="244"/>
      <c r="M224" s="244"/>
      <c r="N224" s="244"/>
      <c r="O224" s="244"/>
      <c r="P224" s="244"/>
      <c r="Q224" s="244"/>
      <c r="R224" s="244"/>
      <c r="S224" s="244"/>
      <c r="T224" s="244"/>
      <c r="U224" s="244"/>
      <c r="V224" s="247"/>
      <c r="W224" s="247"/>
    </row>
    <row r="225" spans="1:23" ht="12.75">
      <c r="A225" s="243"/>
      <c r="B225" s="243"/>
      <c r="C225" s="244"/>
      <c r="D225" s="243"/>
      <c r="E225" s="245"/>
      <c r="F225" s="246"/>
      <c r="G225" s="244"/>
      <c r="H225" s="244"/>
      <c r="I225" s="244"/>
      <c r="J225" s="244"/>
      <c r="K225" s="244"/>
      <c r="L225" s="244"/>
      <c r="M225" s="244"/>
      <c r="N225" s="244"/>
      <c r="O225" s="244"/>
      <c r="P225" s="244"/>
      <c r="Q225" s="244"/>
      <c r="R225" s="244"/>
      <c r="S225" s="244"/>
      <c r="T225" s="244"/>
      <c r="U225" s="244"/>
      <c r="V225" s="247"/>
      <c r="W225" s="247"/>
    </row>
    <row r="226" spans="1:23" ht="12.75">
      <c r="A226" s="243"/>
      <c r="B226" s="243"/>
      <c r="C226" s="244"/>
      <c r="D226" s="243"/>
      <c r="E226" s="245"/>
      <c r="F226" s="246"/>
      <c r="G226" s="244"/>
      <c r="H226" s="244"/>
      <c r="I226" s="244"/>
      <c r="J226" s="244"/>
      <c r="K226" s="244"/>
      <c r="L226" s="244"/>
      <c r="M226" s="244"/>
      <c r="N226" s="244"/>
      <c r="O226" s="244"/>
      <c r="P226" s="244"/>
      <c r="Q226" s="244"/>
      <c r="R226" s="244"/>
      <c r="S226" s="244"/>
      <c r="T226" s="244"/>
      <c r="U226" s="244"/>
      <c r="V226" s="247"/>
      <c r="W226" s="247"/>
    </row>
    <row r="227" spans="1:23" ht="12.75">
      <c r="A227" s="243"/>
      <c r="B227" s="243"/>
      <c r="C227" s="244"/>
      <c r="D227" s="243"/>
      <c r="E227" s="245"/>
      <c r="F227" s="246"/>
      <c r="G227" s="244"/>
      <c r="H227" s="244"/>
      <c r="I227" s="244"/>
      <c r="J227" s="244"/>
      <c r="K227" s="244"/>
      <c r="L227" s="244"/>
      <c r="M227" s="244"/>
      <c r="N227" s="244"/>
      <c r="O227" s="244"/>
      <c r="P227" s="244"/>
      <c r="Q227" s="244"/>
      <c r="R227" s="244"/>
      <c r="S227" s="244"/>
      <c r="T227" s="244"/>
      <c r="U227" s="244"/>
      <c r="V227" s="247"/>
      <c r="W227" s="247"/>
    </row>
    <row r="228" spans="1:23" ht="12.75">
      <c r="A228" s="243"/>
      <c r="B228" s="243"/>
      <c r="C228" s="244"/>
      <c r="D228" s="243"/>
      <c r="E228" s="245"/>
      <c r="F228" s="246"/>
      <c r="G228" s="244"/>
      <c r="H228" s="244"/>
      <c r="I228" s="244"/>
      <c r="J228" s="244"/>
      <c r="K228" s="244"/>
      <c r="L228" s="244"/>
      <c r="M228" s="244"/>
      <c r="N228" s="244"/>
      <c r="O228" s="244"/>
      <c r="P228" s="244"/>
      <c r="Q228" s="244"/>
      <c r="R228" s="244"/>
      <c r="S228" s="244"/>
      <c r="T228" s="244"/>
      <c r="U228" s="244"/>
      <c r="V228" s="247"/>
      <c r="W228" s="247"/>
    </row>
    <row r="229" spans="1:23" ht="12.75">
      <c r="A229" s="243"/>
      <c r="B229" s="243"/>
      <c r="C229" s="244"/>
      <c r="D229" s="243"/>
      <c r="E229" s="245"/>
      <c r="F229" s="246"/>
      <c r="G229" s="244"/>
      <c r="H229" s="244"/>
      <c r="I229" s="244"/>
      <c r="J229" s="244"/>
      <c r="K229" s="244"/>
      <c r="L229" s="244"/>
      <c r="M229" s="244"/>
      <c r="N229" s="244"/>
      <c r="O229" s="244"/>
      <c r="P229" s="244"/>
      <c r="Q229" s="244"/>
      <c r="R229" s="244"/>
      <c r="S229" s="244"/>
      <c r="T229" s="244"/>
      <c r="U229" s="244"/>
      <c r="V229" s="247"/>
      <c r="W229" s="247"/>
    </row>
    <row r="230" spans="1:23" ht="12.75">
      <c r="A230" s="243"/>
      <c r="B230" s="243"/>
      <c r="C230" s="244"/>
      <c r="D230" s="243"/>
      <c r="E230" s="245"/>
      <c r="F230" s="246"/>
      <c r="G230" s="244"/>
      <c r="H230" s="244"/>
      <c r="I230" s="244"/>
      <c r="J230" s="244"/>
      <c r="K230" s="244"/>
      <c r="L230" s="244"/>
      <c r="M230" s="244"/>
      <c r="N230" s="244"/>
      <c r="O230" s="244"/>
      <c r="P230" s="244"/>
      <c r="Q230" s="244"/>
      <c r="R230" s="244"/>
      <c r="S230" s="244"/>
      <c r="T230" s="244"/>
      <c r="U230" s="244"/>
      <c r="V230" s="247"/>
      <c r="W230" s="247"/>
    </row>
    <row r="231" spans="1:23" ht="12.75">
      <c r="A231" s="243"/>
      <c r="B231" s="243"/>
      <c r="C231" s="244"/>
      <c r="D231" s="243"/>
      <c r="E231" s="245"/>
      <c r="F231" s="246"/>
      <c r="G231" s="244"/>
      <c r="H231" s="244"/>
      <c r="I231" s="244"/>
      <c r="J231" s="244"/>
      <c r="K231" s="244"/>
      <c r="L231" s="244"/>
      <c r="M231" s="244"/>
      <c r="N231" s="244"/>
      <c r="O231" s="244"/>
      <c r="P231" s="244"/>
      <c r="Q231" s="244"/>
      <c r="R231" s="244"/>
      <c r="S231" s="244"/>
      <c r="T231" s="244"/>
      <c r="U231" s="244"/>
      <c r="V231" s="247"/>
      <c r="W231" s="247"/>
    </row>
    <row r="232" spans="1:23" ht="12.75">
      <c r="A232" s="243"/>
      <c r="B232" s="243"/>
      <c r="C232" s="244"/>
      <c r="D232" s="243"/>
      <c r="E232" s="245"/>
      <c r="F232" s="246"/>
      <c r="G232" s="244"/>
      <c r="H232" s="244"/>
      <c r="I232" s="244"/>
      <c r="J232" s="244"/>
      <c r="K232" s="244"/>
      <c r="L232" s="244"/>
      <c r="M232" s="244"/>
      <c r="N232" s="244"/>
      <c r="O232" s="244"/>
      <c r="P232" s="244"/>
      <c r="Q232" s="244"/>
      <c r="R232" s="244"/>
      <c r="S232" s="244"/>
      <c r="T232" s="244"/>
      <c r="U232" s="244"/>
      <c r="V232" s="247"/>
      <c r="W232" s="247"/>
    </row>
    <row r="233" spans="1:23" ht="12.75">
      <c r="A233" s="243"/>
      <c r="B233" s="243"/>
      <c r="C233" s="244"/>
      <c r="D233" s="243"/>
      <c r="E233" s="245"/>
      <c r="F233" s="246"/>
      <c r="G233" s="244"/>
      <c r="H233" s="244"/>
      <c r="I233" s="244"/>
      <c r="J233" s="244"/>
      <c r="K233" s="244"/>
      <c r="L233" s="244"/>
      <c r="M233" s="244"/>
      <c r="N233" s="244"/>
      <c r="O233" s="244"/>
      <c r="P233" s="244"/>
      <c r="Q233" s="244"/>
      <c r="R233" s="244"/>
      <c r="S233" s="244"/>
      <c r="T233" s="244"/>
      <c r="U233" s="244"/>
      <c r="V233" s="247"/>
      <c r="W233" s="247"/>
    </row>
    <row r="234" spans="1:23" ht="12.75">
      <c r="A234" s="243"/>
      <c r="B234" s="243"/>
      <c r="C234" s="244"/>
      <c r="D234" s="243"/>
      <c r="E234" s="245"/>
      <c r="F234" s="246"/>
      <c r="G234" s="244"/>
      <c r="H234" s="244"/>
      <c r="I234" s="244"/>
      <c r="J234" s="244"/>
      <c r="K234" s="244"/>
      <c r="L234" s="244"/>
      <c r="M234" s="244"/>
      <c r="N234" s="244"/>
      <c r="O234" s="244"/>
      <c r="P234" s="244"/>
      <c r="Q234" s="244"/>
      <c r="R234" s="244"/>
      <c r="S234" s="244"/>
      <c r="T234" s="244"/>
      <c r="U234" s="244"/>
      <c r="V234" s="247"/>
      <c r="W234" s="247"/>
    </row>
    <row r="235" spans="1:23" ht="12.75">
      <c r="A235" s="243"/>
      <c r="B235" s="243"/>
      <c r="C235" s="244"/>
      <c r="D235" s="243"/>
      <c r="E235" s="245"/>
      <c r="F235" s="246"/>
      <c r="G235" s="244"/>
      <c r="H235" s="244"/>
      <c r="I235" s="244"/>
      <c r="J235" s="244"/>
      <c r="K235" s="244"/>
      <c r="L235" s="244"/>
      <c r="M235" s="244"/>
      <c r="N235" s="244"/>
      <c r="O235" s="244"/>
      <c r="P235" s="244"/>
      <c r="Q235" s="244"/>
      <c r="R235" s="244"/>
      <c r="S235" s="244"/>
      <c r="T235" s="244"/>
      <c r="U235" s="244"/>
      <c r="V235" s="247"/>
      <c r="W235" s="247"/>
    </row>
    <row r="236" spans="1:23" ht="12.75">
      <c r="A236" s="243"/>
      <c r="B236" s="243"/>
      <c r="C236" s="244"/>
      <c r="D236" s="243"/>
      <c r="E236" s="245"/>
      <c r="F236" s="246"/>
      <c r="G236" s="244"/>
      <c r="H236" s="244"/>
      <c r="I236" s="244"/>
      <c r="J236" s="244"/>
      <c r="K236" s="244"/>
      <c r="L236" s="244"/>
      <c r="M236" s="244"/>
      <c r="N236" s="244"/>
      <c r="O236" s="244"/>
      <c r="P236" s="244"/>
      <c r="Q236" s="244"/>
      <c r="R236" s="244"/>
      <c r="S236" s="244"/>
      <c r="T236" s="244"/>
      <c r="U236" s="244"/>
      <c r="V236" s="247"/>
      <c r="W236" s="247"/>
    </row>
    <row r="237" spans="1:23" ht="12.75">
      <c r="A237" s="243"/>
      <c r="B237" s="243"/>
      <c r="C237" s="244"/>
      <c r="D237" s="243"/>
      <c r="E237" s="245"/>
      <c r="F237" s="246"/>
      <c r="G237" s="244"/>
      <c r="H237" s="244"/>
      <c r="I237" s="244"/>
      <c r="J237" s="244"/>
      <c r="K237" s="244"/>
      <c r="L237" s="244"/>
      <c r="M237" s="244"/>
      <c r="N237" s="244"/>
      <c r="O237" s="244"/>
      <c r="P237" s="244"/>
      <c r="Q237" s="244"/>
      <c r="R237" s="244"/>
      <c r="S237" s="244"/>
      <c r="T237" s="244"/>
      <c r="U237" s="244"/>
      <c r="V237" s="247"/>
      <c r="W237" s="247"/>
    </row>
    <row r="238" spans="1:23" ht="12.75">
      <c r="A238" s="243"/>
      <c r="B238" s="243"/>
      <c r="C238" s="244"/>
      <c r="D238" s="243"/>
      <c r="E238" s="245"/>
      <c r="F238" s="246"/>
      <c r="G238" s="244"/>
      <c r="H238" s="244"/>
      <c r="I238" s="244"/>
      <c r="J238" s="244"/>
      <c r="K238" s="244"/>
      <c r="L238" s="244"/>
      <c r="M238" s="244"/>
      <c r="N238" s="244"/>
      <c r="O238" s="244"/>
      <c r="P238" s="244"/>
      <c r="Q238" s="244"/>
      <c r="R238" s="244"/>
      <c r="S238" s="244"/>
      <c r="T238" s="244"/>
      <c r="U238" s="244"/>
      <c r="V238" s="247"/>
      <c r="W238" s="247"/>
    </row>
    <row r="239" spans="1:23" ht="12.75">
      <c r="A239" s="243"/>
      <c r="B239" s="243"/>
      <c r="C239" s="244"/>
      <c r="D239" s="243"/>
      <c r="E239" s="245"/>
      <c r="F239" s="246"/>
      <c r="G239" s="244"/>
      <c r="H239" s="244"/>
      <c r="I239" s="244"/>
      <c r="J239" s="244"/>
      <c r="K239" s="244"/>
      <c r="L239" s="244"/>
      <c r="M239" s="244"/>
      <c r="N239" s="244"/>
      <c r="O239" s="244"/>
      <c r="P239" s="244"/>
      <c r="Q239" s="244"/>
      <c r="R239" s="244"/>
      <c r="S239" s="244"/>
      <c r="T239" s="244"/>
      <c r="U239" s="244"/>
      <c r="V239" s="247"/>
      <c r="W239" s="247"/>
    </row>
    <row r="240" spans="1:23" ht="12.75">
      <c r="A240" s="243"/>
      <c r="B240" s="243"/>
      <c r="C240" s="244"/>
      <c r="D240" s="243"/>
      <c r="E240" s="245"/>
      <c r="F240" s="246"/>
      <c r="G240" s="244"/>
      <c r="H240" s="244"/>
      <c r="I240" s="244"/>
      <c r="J240" s="244"/>
      <c r="K240" s="244"/>
      <c r="L240" s="244"/>
      <c r="M240" s="244"/>
      <c r="N240" s="244"/>
      <c r="O240" s="244"/>
      <c r="P240" s="244"/>
      <c r="Q240" s="244"/>
      <c r="R240" s="244"/>
      <c r="S240" s="244"/>
      <c r="T240" s="244"/>
      <c r="U240" s="244"/>
      <c r="V240" s="247"/>
      <c r="W240" s="247"/>
    </row>
    <row r="241" spans="1:23" ht="12.75">
      <c r="A241" s="243"/>
      <c r="B241" s="243"/>
      <c r="C241" s="244"/>
      <c r="D241" s="243"/>
      <c r="E241" s="245"/>
      <c r="F241" s="246"/>
      <c r="G241" s="244"/>
      <c r="H241" s="244"/>
      <c r="I241" s="244"/>
      <c r="J241" s="244"/>
      <c r="K241" s="244"/>
      <c r="L241" s="244"/>
      <c r="M241" s="244"/>
      <c r="N241" s="244"/>
      <c r="O241" s="244"/>
      <c r="P241" s="244"/>
      <c r="Q241" s="244"/>
      <c r="R241" s="244"/>
      <c r="S241" s="244"/>
      <c r="T241" s="244"/>
      <c r="U241" s="244"/>
      <c r="V241" s="247"/>
      <c r="W241" s="247"/>
    </row>
    <row r="242" spans="1:23" ht="12.75">
      <c r="A242" s="243"/>
      <c r="B242" s="243"/>
      <c r="C242" s="244"/>
      <c r="D242" s="243"/>
      <c r="E242" s="245"/>
      <c r="F242" s="246"/>
      <c r="G242" s="244"/>
      <c r="H242" s="244"/>
      <c r="I242" s="244"/>
      <c r="J242" s="244"/>
      <c r="K242" s="244"/>
      <c r="L242" s="244"/>
      <c r="M242" s="244"/>
      <c r="N242" s="244"/>
      <c r="O242" s="244"/>
      <c r="P242" s="244"/>
      <c r="Q242" s="244"/>
      <c r="R242" s="244"/>
      <c r="S242" s="244"/>
      <c r="T242" s="244"/>
      <c r="U242" s="244"/>
      <c r="V242" s="247"/>
      <c r="W242" s="247"/>
    </row>
    <row r="243" spans="1:23" ht="12.75">
      <c r="A243" s="243"/>
      <c r="B243" s="243"/>
      <c r="C243" s="244"/>
      <c r="D243" s="243"/>
      <c r="E243" s="245"/>
      <c r="F243" s="246"/>
      <c r="G243" s="244"/>
      <c r="H243" s="244"/>
      <c r="I243" s="244"/>
      <c r="J243" s="244"/>
      <c r="K243" s="244"/>
      <c r="L243" s="244"/>
      <c r="M243" s="244"/>
      <c r="N243" s="244"/>
      <c r="O243" s="244"/>
      <c r="P243" s="244"/>
      <c r="Q243" s="244"/>
      <c r="R243" s="244"/>
      <c r="S243" s="244"/>
      <c r="T243" s="244"/>
      <c r="U243" s="244"/>
      <c r="V243" s="247"/>
      <c r="W243" s="247"/>
    </row>
    <row r="244" spans="1:23" ht="12.75">
      <c r="A244" s="243"/>
      <c r="B244" s="243"/>
      <c r="C244" s="244"/>
      <c r="D244" s="243"/>
      <c r="E244" s="245"/>
      <c r="F244" s="246"/>
      <c r="G244" s="244"/>
      <c r="H244" s="244"/>
      <c r="I244" s="244"/>
      <c r="J244" s="244"/>
      <c r="K244" s="244"/>
      <c r="L244" s="244"/>
      <c r="M244" s="244"/>
      <c r="N244" s="244"/>
      <c r="O244" s="244"/>
      <c r="P244" s="244"/>
      <c r="Q244" s="244"/>
      <c r="R244" s="244"/>
      <c r="S244" s="244"/>
      <c r="T244" s="244"/>
      <c r="U244" s="244"/>
      <c r="V244" s="247"/>
      <c r="W244" s="247"/>
    </row>
    <row r="245" spans="1:23" ht="12.75">
      <c r="A245" s="243"/>
      <c r="B245" s="243"/>
      <c r="C245" s="244"/>
      <c r="D245" s="243"/>
      <c r="E245" s="245"/>
      <c r="F245" s="246"/>
      <c r="G245" s="244"/>
      <c r="H245" s="244"/>
      <c r="I245" s="244"/>
      <c r="J245" s="244"/>
      <c r="K245" s="244"/>
      <c r="L245" s="244"/>
      <c r="M245" s="244"/>
      <c r="N245" s="244"/>
      <c r="O245" s="244"/>
      <c r="P245" s="244"/>
      <c r="Q245" s="244"/>
      <c r="R245" s="244"/>
      <c r="S245" s="244"/>
      <c r="T245" s="244"/>
      <c r="U245" s="244"/>
      <c r="V245" s="247"/>
      <c r="W245" s="247"/>
    </row>
    <row r="246" spans="1:23" ht="12.75">
      <c r="A246" s="243"/>
      <c r="B246" s="243"/>
      <c r="C246" s="244"/>
      <c r="D246" s="243"/>
      <c r="E246" s="245"/>
      <c r="F246" s="246"/>
      <c r="G246" s="244"/>
      <c r="H246" s="244"/>
      <c r="I246" s="244"/>
      <c r="J246" s="244"/>
      <c r="K246" s="244"/>
      <c r="L246" s="244"/>
      <c r="M246" s="244"/>
      <c r="N246" s="244"/>
      <c r="O246" s="244"/>
      <c r="P246" s="244"/>
      <c r="Q246" s="244"/>
      <c r="R246" s="244"/>
      <c r="S246" s="244"/>
      <c r="T246" s="244"/>
      <c r="U246" s="244"/>
      <c r="V246" s="247"/>
      <c r="W246" s="247"/>
    </row>
    <row r="247" spans="1:23" ht="12.75">
      <c r="A247" s="243"/>
      <c r="B247" s="243"/>
      <c r="C247" s="244"/>
      <c r="D247" s="243"/>
      <c r="E247" s="245"/>
      <c r="F247" s="246"/>
      <c r="G247" s="244"/>
      <c r="H247" s="244"/>
      <c r="I247" s="244"/>
      <c r="J247" s="244"/>
      <c r="K247" s="244"/>
      <c r="L247" s="244"/>
      <c r="M247" s="244"/>
      <c r="N247" s="244"/>
      <c r="O247" s="244"/>
      <c r="P247" s="244"/>
      <c r="Q247" s="244"/>
      <c r="R247" s="244"/>
      <c r="S247" s="244"/>
      <c r="T247" s="244"/>
      <c r="U247" s="244"/>
      <c r="V247" s="247"/>
      <c r="W247" s="247"/>
    </row>
    <row r="248" spans="1:23" ht="12.75">
      <c r="A248" s="243"/>
      <c r="B248" s="243"/>
      <c r="C248" s="244"/>
      <c r="D248" s="243"/>
      <c r="E248" s="245"/>
      <c r="F248" s="246"/>
      <c r="G248" s="244"/>
      <c r="H248" s="244"/>
      <c r="I248" s="244"/>
      <c r="J248" s="244"/>
      <c r="K248" s="244"/>
      <c r="L248" s="244"/>
      <c r="M248" s="244"/>
      <c r="N248" s="244"/>
      <c r="O248" s="244"/>
      <c r="P248" s="244"/>
      <c r="Q248" s="244"/>
      <c r="R248" s="244"/>
      <c r="S248" s="244"/>
      <c r="T248" s="244"/>
      <c r="U248" s="244"/>
      <c r="V248" s="247"/>
      <c r="W248" s="247"/>
    </row>
    <row r="249" spans="1:23" ht="12.75">
      <c r="A249" s="243"/>
      <c r="B249" s="243"/>
      <c r="C249" s="244"/>
      <c r="D249" s="243"/>
      <c r="E249" s="245"/>
      <c r="F249" s="246"/>
      <c r="G249" s="244"/>
      <c r="H249" s="244"/>
      <c r="I249" s="244"/>
      <c r="J249" s="244"/>
      <c r="K249" s="244"/>
      <c r="L249" s="244"/>
      <c r="M249" s="244"/>
      <c r="N249" s="244"/>
      <c r="O249" s="244"/>
      <c r="P249" s="244"/>
      <c r="Q249" s="244"/>
      <c r="R249" s="244"/>
      <c r="S249" s="244"/>
      <c r="T249" s="244"/>
      <c r="U249" s="244"/>
      <c r="V249" s="247"/>
      <c r="W249" s="247"/>
    </row>
    <row r="250" spans="1:23" ht="12.75">
      <c r="A250" s="243"/>
      <c r="B250" s="243"/>
      <c r="C250" s="244"/>
      <c r="D250" s="243"/>
      <c r="E250" s="245"/>
      <c r="F250" s="246"/>
      <c r="G250" s="244"/>
      <c r="H250" s="244"/>
      <c r="I250" s="244"/>
      <c r="J250" s="244"/>
      <c r="K250" s="244"/>
      <c r="L250" s="244"/>
      <c r="M250" s="244"/>
      <c r="N250" s="244"/>
      <c r="O250" s="244"/>
      <c r="P250" s="244"/>
      <c r="Q250" s="244"/>
      <c r="R250" s="244"/>
      <c r="S250" s="244"/>
      <c r="T250" s="244"/>
      <c r="U250" s="244"/>
      <c r="V250" s="247"/>
      <c r="W250" s="247"/>
    </row>
    <row r="251" spans="1:23" ht="12.75">
      <c r="A251" s="243"/>
      <c r="B251" s="243"/>
      <c r="C251" s="244"/>
      <c r="D251" s="243"/>
      <c r="E251" s="245"/>
      <c r="F251" s="246"/>
      <c r="G251" s="244"/>
      <c r="H251" s="244"/>
      <c r="I251" s="244"/>
      <c r="J251" s="244"/>
      <c r="K251" s="244"/>
      <c r="L251" s="244"/>
      <c r="M251" s="244"/>
      <c r="N251" s="244"/>
      <c r="O251" s="244"/>
      <c r="P251" s="244"/>
      <c r="Q251" s="244"/>
      <c r="R251" s="244"/>
      <c r="S251" s="244"/>
      <c r="T251" s="244"/>
      <c r="U251" s="244"/>
      <c r="V251" s="247"/>
      <c r="W251" s="247"/>
    </row>
    <row r="252" spans="1:23" ht="12.75">
      <c r="A252" s="243"/>
      <c r="B252" s="243"/>
      <c r="C252" s="244"/>
      <c r="D252" s="243"/>
      <c r="E252" s="245"/>
      <c r="F252" s="246"/>
      <c r="G252" s="244"/>
      <c r="H252" s="244"/>
      <c r="I252" s="244"/>
      <c r="J252" s="244"/>
      <c r="K252" s="244"/>
      <c r="L252" s="244"/>
      <c r="M252" s="244"/>
      <c r="N252" s="244"/>
      <c r="O252" s="244"/>
      <c r="P252" s="244"/>
      <c r="Q252" s="244"/>
      <c r="R252" s="244"/>
      <c r="S252" s="244"/>
      <c r="T252" s="244"/>
      <c r="U252" s="244"/>
      <c r="V252" s="247"/>
      <c r="W252" s="247"/>
    </row>
    <row r="253" spans="1:23" ht="12.75">
      <c r="A253" s="243"/>
      <c r="B253" s="243"/>
      <c r="C253" s="244"/>
      <c r="D253" s="243"/>
      <c r="E253" s="245"/>
      <c r="F253" s="246"/>
      <c r="G253" s="244"/>
      <c r="H253" s="244"/>
      <c r="I253" s="244"/>
      <c r="J253" s="244"/>
      <c r="K253" s="244"/>
      <c r="L253" s="244"/>
      <c r="M253" s="244"/>
      <c r="N253" s="244"/>
      <c r="O253" s="244"/>
      <c r="P253" s="244"/>
      <c r="Q253" s="244"/>
      <c r="R253" s="244"/>
      <c r="S253" s="244"/>
      <c r="T253" s="244"/>
      <c r="U253" s="244"/>
      <c r="V253" s="247"/>
      <c r="W253" s="247"/>
    </row>
    <row r="254" spans="1:23" ht="12.75">
      <c r="A254" s="243"/>
      <c r="B254" s="243"/>
      <c r="C254" s="244"/>
      <c r="D254" s="243"/>
      <c r="E254" s="245"/>
      <c r="F254" s="246"/>
      <c r="G254" s="244"/>
      <c r="H254" s="244"/>
      <c r="I254" s="244"/>
      <c r="J254" s="244"/>
      <c r="K254" s="244"/>
      <c r="L254" s="244"/>
      <c r="M254" s="244"/>
      <c r="N254" s="244"/>
      <c r="O254" s="244"/>
      <c r="P254" s="244"/>
      <c r="Q254" s="244"/>
      <c r="R254" s="244"/>
      <c r="S254" s="244"/>
      <c r="T254" s="244"/>
      <c r="U254" s="244"/>
      <c r="V254" s="247"/>
      <c r="W254" s="247"/>
    </row>
    <row r="255" spans="1:23" ht="12.75">
      <c r="A255" s="243"/>
      <c r="B255" s="243"/>
      <c r="C255" s="244"/>
      <c r="D255" s="243"/>
      <c r="E255" s="245"/>
      <c r="F255" s="246"/>
      <c r="G255" s="244"/>
      <c r="H255" s="244"/>
      <c r="I255" s="244"/>
      <c r="J255" s="244"/>
      <c r="K255" s="244"/>
      <c r="L255" s="244"/>
      <c r="M255" s="244"/>
      <c r="N255" s="244"/>
      <c r="O255" s="244"/>
      <c r="P255" s="244"/>
      <c r="Q255" s="244"/>
      <c r="R255" s="244"/>
      <c r="S255" s="244"/>
      <c r="T255" s="244"/>
      <c r="U255" s="244"/>
      <c r="V255" s="247"/>
      <c r="W255" s="247"/>
    </row>
    <row r="256" spans="1:23" ht="12.75">
      <c r="A256" s="243"/>
      <c r="B256" s="243"/>
      <c r="C256" s="244"/>
      <c r="D256" s="243"/>
      <c r="E256" s="245"/>
      <c r="F256" s="246"/>
      <c r="G256" s="244"/>
      <c r="H256" s="244"/>
      <c r="I256" s="244"/>
      <c r="J256" s="244"/>
      <c r="K256" s="244"/>
      <c r="L256" s="244"/>
      <c r="M256" s="244"/>
      <c r="N256" s="244"/>
      <c r="O256" s="244"/>
      <c r="P256" s="244"/>
      <c r="Q256" s="244"/>
      <c r="R256" s="244"/>
      <c r="S256" s="244"/>
      <c r="T256" s="244"/>
      <c r="U256" s="244"/>
      <c r="V256" s="247"/>
      <c r="W256" s="247"/>
    </row>
    <row r="257" spans="1:23" ht="12.75">
      <c r="A257" s="243"/>
      <c r="B257" s="243"/>
      <c r="C257" s="244"/>
      <c r="D257" s="243"/>
      <c r="E257" s="245"/>
      <c r="F257" s="246"/>
      <c r="G257" s="244"/>
      <c r="H257" s="244"/>
      <c r="I257" s="244"/>
      <c r="J257" s="244"/>
      <c r="K257" s="244"/>
      <c r="L257" s="244"/>
      <c r="M257" s="244"/>
      <c r="N257" s="244"/>
      <c r="O257" s="244"/>
      <c r="P257" s="244"/>
      <c r="Q257" s="244"/>
      <c r="R257" s="244"/>
      <c r="S257" s="244"/>
      <c r="T257" s="244"/>
      <c r="U257" s="244"/>
      <c r="V257" s="247"/>
      <c r="W257" s="247"/>
    </row>
    <row r="258" spans="1:23" ht="12.75">
      <c r="A258" s="243"/>
      <c r="B258" s="243"/>
      <c r="C258" s="244"/>
      <c r="D258" s="243"/>
      <c r="E258" s="245"/>
      <c r="F258" s="246"/>
      <c r="G258" s="244"/>
      <c r="H258" s="244"/>
      <c r="I258" s="244"/>
      <c r="J258" s="244"/>
      <c r="K258" s="244"/>
      <c r="L258" s="244"/>
      <c r="M258" s="244"/>
      <c r="N258" s="244"/>
      <c r="O258" s="244"/>
      <c r="P258" s="244"/>
      <c r="Q258" s="244"/>
      <c r="R258" s="244"/>
      <c r="S258" s="244"/>
      <c r="T258" s="244"/>
      <c r="U258" s="244"/>
      <c r="V258" s="247"/>
      <c r="W258" s="247"/>
    </row>
    <row r="259" spans="1:23" ht="12.75">
      <c r="A259" s="243"/>
      <c r="B259" s="243"/>
      <c r="C259" s="244"/>
      <c r="D259" s="243"/>
      <c r="E259" s="245"/>
      <c r="F259" s="246"/>
      <c r="G259" s="244"/>
      <c r="H259" s="244"/>
      <c r="I259" s="244"/>
      <c r="J259" s="244"/>
      <c r="K259" s="244"/>
      <c r="L259" s="244"/>
      <c r="M259" s="244"/>
      <c r="N259" s="244"/>
      <c r="O259" s="244"/>
      <c r="P259" s="244"/>
      <c r="Q259" s="244"/>
      <c r="R259" s="244"/>
      <c r="S259" s="244"/>
      <c r="T259" s="244"/>
      <c r="U259" s="244"/>
      <c r="V259" s="247"/>
      <c r="W259" s="247"/>
    </row>
    <row r="260" spans="1:23" ht="12.75">
      <c r="A260" s="243"/>
      <c r="B260" s="243"/>
      <c r="C260" s="244"/>
      <c r="D260" s="243"/>
      <c r="E260" s="245"/>
      <c r="F260" s="246"/>
      <c r="G260" s="244"/>
      <c r="H260" s="244"/>
      <c r="I260" s="244"/>
      <c r="J260" s="244"/>
      <c r="K260" s="244"/>
      <c r="L260" s="244"/>
      <c r="M260" s="244"/>
      <c r="N260" s="244"/>
      <c r="O260" s="244"/>
      <c r="P260" s="244"/>
      <c r="Q260" s="244"/>
      <c r="R260" s="244"/>
      <c r="S260" s="244"/>
      <c r="T260" s="244"/>
      <c r="U260" s="244"/>
      <c r="V260" s="247"/>
      <c r="W260" s="247"/>
    </row>
    <row r="261" spans="1:23" ht="12.75">
      <c r="A261" s="243"/>
      <c r="B261" s="243"/>
      <c r="C261" s="244"/>
      <c r="D261" s="243"/>
      <c r="E261" s="245"/>
      <c r="F261" s="246"/>
      <c r="G261" s="244"/>
      <c r="H261" s="244"/>
      <c r="I261" s="244"/>
      <c r="J261" s="244"/>
      <c r="K261" s="244"/>
      <c r="L261" s="244"/>
      <c r="M261" s="244"/>
      <c r="N261" s="244"/>
      <c r="O261" s="244"/>
      <c r="P261" s="244"/>
      <c r="Q261" s="244"/>
      <c r="R261" s="244"/>
      <c r="S261" s="244"/>
      <c r="T261" s="244"/>
      <c r="U261" s="244"/>
      <c r="V261" s="247"/>
      <c r="W261" s="247"/>
    </row>
    <row r="262" spans="1:23" ht="12.75">
      <c r="A262" s="243"/>
      <c r="B262" s="243"/>
      <c r="C262" s="244"/>
      <c r="D262" s="243"/>
      <c r="E262" s="245"/>
      <c r="F262" s="246"/>
      <c r="G262" s="244"/>
      <c r="H262" s="244"/>
      <c r="I262" s="244"/>
      <c r="J262" s="244"/>
      <c r="K262" s="244"/>
      <c r="L262" s="244"/>
      <c r="M262" s="244"/>
      <c r="N262" s="244"/>
      <c r="O262" s="244"/>
      <c r="P262" s="244"/>
      <c r="Q262" s="244"/>
      <c r="R262" s="244"/>
      <c r="S262" s="244"/>
      <c r="T262" s="244"/>
      <c r="U262" s="244"/>
      <c r="V262" s="247"/>
      <c r="W262" s="247"/>
    </row>
    <row r="263" spans="1:23" ht="12.75">
      <c r="A263" s="243"/>
      <c r="B263" s="243"/>
      <c r="C263" s="244"/>
      <c r="D263" s="243"/>
      <c r="E263" s="245"/>
      <c r="F263" s="246"/>
      <c r="G263" s="244"/>
      <c r="H263" s="244"/>
      <c r="I263" s="244"/>
      <c r="J263" s="244"/>
      <c r="K263" s="244"/>
      <c r="L263" s="244"/>
      <c r="M263" s="244"/>
      <c r="N263" s="244"/>
      <c r="O263" s="244"/>
      <c r="P263" s="244"/>
      <c r="Q263" s="244"/>
      <c r="R263" s="244"/>
      <c r="S263" s="244"/>
      <c r="T263" s="244"/>
      <c r="U263" s="244"/>
      <c r="V263" s="247"/>
      <c r="W263" s="247"/>
    </row>
    <row r="264" spans="1:23" ht="12.75">
      <c r="A264" s="243"/>
      <c r="B264" s="243"/>
      <c r="C264" s="244"/>
      <c r="D264" s="243"/>
      <c r="E264" s="245"/>
      <c r="F264" s="246"/>
      <c r="G264" s="244"/>
      <c r="H264" s="244"/>
      <c r="I264" s="244"/>
      <c r="J264" s="244"/>
      <c r="K264" s="244"/>
      <c r="L264" s="244"/>
      <c r="M264" s="244"/>
      <c r="N264" s="244"/>
      <c r="O264" s="244"/>
      <c r="P264" s="244"/>
      <c r="Q264" s="244"/>
      <c r="R264" s="244"/>
      <c r="S264" s="244"/>
      <c r="T264" s="244"/>
      <c r="U264" s="244"/>
      <c r="V264" s="247"/>
      <c r="W264" s="247"/>
    </row>
    <row r="265" spans="1:23" ht="12.75">
      <c r="A265" s="243"/>
      <c r="B265" s="243"/>
      <c r="C265" s="244"/>
      <c r="D265" s="243"/>
      <c r="E265" s="245"/>
      <c r="F265" s="246"/>
      <c r="G265" s="244"/>
      <c r="H265" s="244"/>
      <c r="I265" s="244"/>
      <c r="J265" s="244"/>
      <c r="K265" s="244"/>
      <c r="L265" s="244"/>
      <c r="M265" s="244"/>
      <c r="N265" s="244"/>
      <c r="O265" s="244"/>
      <c r="P265" s="244"/>
      <c r="Q265" s="244"/>
      <c r="R265" s="244"/>
      <c r="S265" s="244"/>
      <c r="T265" s="244"/>
      <c r="U265" s="244"/>
      <c r="V265" s="247"/>
      <c r="W265" s="247"/>
    </row>
    <row r="266" spans="1:23" ht="12.75">
      <c r="A266" s="243"/>
      <c r="B266" s="243"/>
      <c r="C266" s="244"/>
      <c r="D266" s="243"/>
      <c r="E266" s="245"/>
      <c r="F266" s="246"/>
      <c r="G266" s="244"/>
      <c r="H266" s="244"/>
      <c r="I266" s="244"/>
      <c r="J266" s="244"/>
      <c r="K266" s="244"/>
      <c r="L266" s="244"/>
      <c r="M266" s="244"/>
      <c r="N266" s="244"/>
      <c r="O266" s="244"/>
      <c r="P266" s="244"/>
      <c r="Q266" s="244"/>
      <c r="R266" s="244"/>
      <c r="S266" s="244"/>
      <c r="T266" s="244"/>
      <c r="U266" s="244"/>
      <c r="V266" s="247"/>
      <c r="W266" s="247"/>
    </row>
    <row r="267" spans="1:23" ht="12.75">
      <c r="A267" s="243"/>
      <c r="B267" s="243"/>
      <c r="C267" s="244"/>
      <c r="D267" s="243"/>
      <c r="E267" s="245"/>
      <c r="F267" s="246"/>
      <c r="G267" s="244"/>
      <c r="H267" s="244"/>
      <c r="I267" s="244"/>
      <c r="J267" s="244"/>
      <c r="K267" s="244"/>
      <c r="L267" s="244"/>
      <c r="M267" s="244"/>
      <c r="N267" s="244"/>
      <c r="O267" s="244"/>
      <c r="P267" s="244"/>
      <c r="Q267" s="244"/>
      <c r="R267" s="244"/>
      <c r="S267" s="244"/>
      <c r="T267" s="244"/>
      <c r="U267" s="244"/>
      <c r="V267" s="247"/>
      <c r="W267" s="247"/>
    </row>
    <row r="268" spans="1:23" ht="12.75">
      <c r="A268" s="243"/>
      <c r="B268" s="243"/>
      <c r="C268" s="244"/>
      <c r="D268" s="243"/>
      <c r="E268" s="245"/>
      <c r="F268" s="246"/>
      <c r="G268" s="244"/>
      <c r="H268" s="244"/>
      <c r="I268" s="244"/>
      <c r="J268" s="244"/>
      <c r="K268" s="244"/>
      <c r="L268" s="244"/>
      <c r="M268" s="244"/>
      <c r="N268" s="244"/>
      <c r="O268" s="244"/>
      <c r="P268" s="244"/>
      <c r="Q268" s="244"/>
      <c r="R268" s="244"/>
      <c r="S268" s="244"/>
      <c r="T268" s="244"/>
      <c r="U268" s="244"/>
      <c r="V268" s="247"/>
      <c r="W268" s="247"/>
    </row>
    <row r="269" spans="1:23" ht="12.75">
      <c r="A269" s="243"/>
      <c r="B269" s="243"/>
      <c r="C269" s="244"/>
      <c r="D269" s="243"/>
      <c r="E269" s="245"/>
      <c r="F269" s="246"/>
      <c r="G269" s="244"/>
      <c r="H269" s="244"/>
      <c r="I269" s="244"/>
      <c r="J269" s="244"/>
      <c r="K269" s="244"/>
      <c r="L269" s="244"/>
      <c r="M269" s="244"/>
      <c r="N269" s="244"/>
      <c r="O269" s="244"/>
      <c r="P269" s="244"/>
      <c r="Q269" s="244"/>
      <c r="R269" s="244"/>
      <c r="S269" s="244"/>
      <c r="T269" s="244"/>
      <c r="U269" s="244"/>
      <c r="V269" s="247"/>
      <c r="W269" s="247"/>
    </row>
    <row r="270" spans="1:23" ht="12.75">
      <c r="A270" s="243"/>
      <c r="B270" s="243"/>
      <c r="C270" s="244"/>
      <c r="D270" s="243"/>
      <c r="E270" s="245"/>
      <c r="F270" s="246"/>
      <c r="G270" s="244"/>
      <c r="H270" s="244"/>
      <c r="I270" s="244"/>
      <c r="J270" s="244"/>
      <c r="K270" s="244"/>
      <c r="L270" s="244"/>
      <c r="M270" s="244"/>
      <c r="N270" s="244"/>
      <c r="O270" s="244"/>
      <c r="P270" s="244"/>
      <c r="Q270" s="244"/>
      <c r="R270" s="244"/>
      <c r="S270" s="244"/>
      <c r="T270" s="244"/>
      <c r="U270" s="244"/>
      <c r="V270" s="247"/>
      <c r="W270" s="247"/>
    </row>
    <row r="271" spans="1:23" ht="12.75">
      <c r="A271" s="243"/>
      <c r="B271" s="243"/>
      <c r="C271" s="244"/>
      <c r="D271" s="243"/>
      <c r="E271" s="245"/>
      <c r="F271" s="246"/>
      <c r="G271" s="244"/>
      <c r="H271" s="244"/>
      <c r="I271" s="244"/>
      <c r="J271" s="244"/>
      <c r="K271" s="244"/>
      <c r="L271" s="244"/>
      <c r="M271" s="244"/>
      <c r="N271" s="244"/>
      <c r="O271" s="244"/>
      <c r="P271" s="244"/>
      <c r="Q271" s="244"/>
      <c r="R271" s="244"/>
      <c r="S271" s="244"/>
      <c r="T271" s="244"/>
      <c r="U271" s="244"/>
      <c r="V271" s="247"/>
      <c r="W271" s="247"/>
    </row>
    <row r="272" spans="1:23" ht="12.75">
      <c r="A272" s="243"/>
      <c r="B272" s="243"/>
      <c r="C272" s="244"/>
      <c r="D272" s="243"/>
      <c r="E272" s="245"/>
      <c r="F272" s="246"/>
      <c r="G272" s="244"/>
      <c r="H272" s="244"/>
      <c r="I272" s="244"/>
      <c r="J272" s="244"/>
      <c r="K272" s="244"/>
      <c r="L272" s="244"/>
      <c r="M272" s="244"/>
      <c r="N272" s="244"/>
      <c r="O272" s="244"/>
      <c r="P272" s="244"/>
      <c r="Q272" s="244"/>
      <c r="R272" s="244"/>
      <c r="S272" s="244"/>
      <c r="T272" s="244"/>
      <c r="U272" s="244"/>
      <c r="V272" s="247"/>
      <c r="W272" s="247"/>
    </row>
    <row r="273" spans="1:23" ht="12.75">
      <c r="A273" s="243"/>
      <c r="B273" s="243"/>
      <c r="C273" s="244"/>
      <c r="D273" s="243"/>
      <c r="E273" s="245"/>
      <c r="F273" s="246"/>
      <c r="G273" s="244"/>
      <c r="H273" s="244"/>
      <c r="I273" s="244"/>
      <c r="J273" s="244"/>
      <c r="K273" s="244"/>
      <c r="L273" s="244"/>
      <c r="M273" s="244"/>
      <c r="N273" s="244"/>
      <c r="O273" s="244"/>
      <c r="P273" s="244"/>
      <c r="Q273" s="244"/>
      <c r="R273" s="244"/>
      <c r="S273" s="244"/>
      <c r="T273" s="244"/>
      <c r="U273" s="244"/>
      <c r="V273" s="247"/>
      <c r="W273" s="247"/>
    </row>
    <row r="274" spans="1:23" ht="12.75">
      <c r="A274" s="243"/>
      <c r="B274" s="243"/>
      <c r="C274" s="244"/>
      <c r="D274" s="243"/>
      <c r="E274" s="245"/>
      <c r="F274" s="246"/>
      <c r="G274" s="244"/>
      <c r="H274" s="244"/>
      <c r="I274" s="244"/>
      <c r="J274" s="244"/>
      <c r="K274" s="244"/>
      <c r="L274" s="244"/>
      <c r="M274" s="244"/>
      <c r="N274" s="244"/>
      <c r="O274" s="244"/>
      <c r="P274" s="244"/>
      <c r="Q274" s="244"/>
      <c r="R274" s="244"/>
      <c r="S274" s="244"/>
      <c r="T274" s="244"/>
      <c r="U274" s="244"/>
      <c r="V274" s="247"/>
      <c r="W274" s="247"/>
    </row>
    <row r="275" spans="1:23" ht="12.75">
      <c r="A275" s="243"/>
      <c r="B275" s="243"/>
      <c r="C275" s="244"/>
      <c r="D275" s="243"/>
      <c r="E275" s="245"/>
      <c r="F275" s="246"/>
      <c r="G275" s="244"/>
      <c r="H275" s="244"/>
      <c r="I275" s="244"/>
      <c r="J275" s="244"/>
      <c r="K275" s="244"/>
      <c r="L275" s="244"/>
      <c r="M275" s="244"/>
      <c r="N275" s="244"/>
      <c r="O275" s="244"/>
      <c r="P275" s="244"/>
      <c r="Q275" s="244"/>
      <c r="R275" s="244"/>
      <c r="S275" s="244"/>
      <c r="T275" s="244"/>
      <c r="U275" s="244"/>
      <c r="V275" s="247"/>
      <c r="W275" s="247"/>
    </row>
    <row r="276" spans="1:23" ht="12.75">
      <c r="A276" s="243"/>
      <c r="B276" s="243"/>
      <c r="C276" s="244"/>
      <c r="D276" s="243"/>
      <c r="E276" s="245"/>
      <c r="F276" s="246"/>
      <c r="G276" s="244"/>
      <c r="H276" s="244"/>
      <c r="I276" s="244"/>
      <c r="J276" s="244"/>
      <c r="K276" s="244"/>
      <c r="L276" s="244"/>
      <c r="M276" s="244"/>
      <c r="N276" s="244"/>
      <c r="O276" s="244"/>
      <c r="P276" s="244"/>
      <c r="Q276" s="244"/>
      <c r="R276" s="244"/>
      <c r="S276" s="244"/>
      <c r="T276" s="244"/>
      <c r="U276" s="244"/>
      <c r="V276" s="247"/>
      <c r="W276" s="247"/>
    </row>
    <row r="277" spans="1:23" ht="12.75">
      <c r="A277" s="243"/>
      <c r="B277" s="243"/>
      <c r="C277" s="244"/>
      <c r="D277" s="243"/>
      <c r="E277" s="245"/>
      <c r="F277" s="246"/>
      <c r="G277" s="244"/>
      <c r="H277" s="244"/>
      <c r="I277" s="244"/>
      <c r="J277" s="244"/>
      <c r="K277" s="244"/>
      <c r="L277" s="244"/>
      <c r="M277" s="244"/>
      <c r="N277" s="244"/>
      <c r="O277" s="244"/>
      <c r="P277" s="244"/>
      <c r="Q277" s="244"/>
      <c r="R277" s="244"/>
      <c r="S277" s="244"/>
      <c r="T277" s="244"/>
      <c r="U277" s="244"/>
      <c r="V277" s="247"/>
      <c r="W277" s="247"/>
    </row>
    <row r="278" spans="1:23" ht="12.75">
      <c r="A278" s="243"/>
      <c r="B278" s="243"/>
      <c r="C278" s="244"/>
      <c r="D278" s="243"/>
      <c r="E278" s="245"/>
      <c r="F278" s="246"/>
      <c r="G278" s="244"/>
      <c r="H278" s="244"/>
      <c r="I278" s="244"/>
      <c r="J278" s="244"/>
      <c r="K278" s="244"/>
      <c r="L278" s="244"/>
      <c r="M278" s="244"/>
      <c r="N278" s="244"/>
      <c r="O278" s="244"/>
      <c r="P278" s="244"/>
      <c r="Q278" s="244"/>
      <c r="R278" s="244"/>
      <c r="S278" s="244"/>
      <c r="T278" s="244"/>
      <c r="U278" s="244"/>
      <c r="V278" s="247"/>
      <c r="W278" s="247"/>
    </row>
    <row r="279" spans="1:23" ht="12.75">
      <c r="A279" s="243"/>
      <c r="B279" s="243"/>
      <c r="C279" s="244"/>
      <c r="D279" s="243"/>
      <c r="E279" s="245"/>
      <c r="F279" s="246"/>
      <c r="G279" s="244"/>
      <c r="H279" s="244"/>
      <c r="I279" s="244"/>
      <c r="J279" s="244"/>
      <c r="K279" s="244"/>
      <c r="L279" s="244"/>
      <c r="M279" s="244"/>
      <c r="N279" s="244"/>
      <c r="O279" s="244"/>
      <c r="P279" s="244"/>
      <c r="Q279" s="244"/>
      <c r="R279" s="244"/>
      <c r="S279" s="244"/>
      <c r="T279" s="244"/>
      <c r="U279" s="244"/>
      <c r="V279" s="247"/>
      <c r="W279" s="247"/>
    </row>
    <row r="280" spans="1:23" ht="12.75">
      <c r="A280" s="243"/>
      <c r="B280" s="243"/>
      <c r="C280" s="244"/>
      <c r="D280" s="243"/>
      <c r="E280" s="245"/>
      <c r="F280" s="246"/>
      <c r="G280" s="244"/>
      <c r="H280" s="244"/>
      <c r="I280" s="244"/>
      <c r="J280" s="244"/>
      <c r="K280" s="244"/>
      <c r="L280" s="244"/>
      <c r="M280" s="244"/>
      <c r="N280" s="244"/>
      <c r="O280" s="244"/>
      <c r="P280" s="244"/>
      <c r="Q280" s="244"/>
      <c r="R280" s="244"/>
      <c r="S280" s="244"/>
      <c r="T280" s="244"/>
      <c r="U280" s="244"/>
      <c r="V280" s="247"/>
      <c r="W280" s="247"/>
    </row>
    <row r="281" spans="1:23" ht="12.75">
      <c r="A281" s="243"/>
      <c r="B281" s="243"/>
      <c r="C281" s="244"/>
      <c r="D281" s="243"/>
      <c r="E281" s="245"/>
      <c r="F281" s="246"/>
      <c r="G281" s="244"/>
      <c r="H281" s="244"/>
      <c r="I281" s="244"/>
      <c r="J281" s="244"/>
      <c r="K281" s="244"/>
      <c r="L281" s="244"/>
      <c r="M281" s="244"/>
      <c r="N281" s="244"/>
      <c r="O281" s="244"/>
      <c r="P281" s="244"/>
      <c r="Q281" s="244"/>
      <c r="R281" s="244"/>
      <c r="S281" s="244"/>
      <c r="T281" s="244"/>
      <c r="U281" s="244"/>
      <c r="V281" s="247"/>
      <c r="W281" s="247"/>
    </row>
    <row r="282" spans="1:23" ht="12.75">
      <c r="A282" s="243"/>
      <c r="B282" s="243"/>
      <c r="C282" s="244"/>
      <c r="D282" s="243"/>
      <c r="E282" s="245"/>
      <c r="F282" s="246"/>
      <c r="G282" s="244"/>
      <c r="H282" s="244"/>
      <c r="I282" s="244"/>
      <c r="J282" s="244"/>
      <c r="K282" s="244"/>
      <c r="L282" s="244"/>
      <c r="M282" s="244"/>
      <c r="N282" s="244"/>
      <c r="O282" s="244"/>
      <c r="P282" s="244"/>
      <c r="Q282" s="244"/>
      <c r="R282" s="244"/>
      <c r="S282" s="244"/>
      <c r="T282" s="244"/>
      <c r="U282" s="244"/>
      <c r="V282" s="247"/>
      <c r="W282" s="247"/>
    </row>
    <row r="283" spans="1:23" ht="12.75">
      <c r="A283" s="243"/>
      <c r="B283" s="243"/>
      <c r="C283" s="244"/>
      <c r="D283" s="243"/>
      <c r="E283" s="245"/>
      <c r="F283" s="246"/>
      <c r="G283" s="244"/>
      <c r="H283" s="244"/>
      <c r="I283" s="244"/>
      <c r="J283" s="244"/>
      <c r="K283" s="244"/>
      <c r="L283" s="244"/>
      <c r="M283" s="244"/>
      <c r="N283" s="244"/>
      <c r="O283" s="244"/>
      <c r="P283" s="244"/>
      <c r="Q283" s="244"/>
      <c r="R283" s="244"/>
      <c r="S283" s="244"/>
      <c r="T283" s="244"/>
      <c r="U283" s="244"/>
      <c r="V283" s="247"/>
      <c r="W283" s="247"/>
    </row>
    <row r="284" spans="1:23" ht="12.75">
      <c r="A284" s="243"/>
      <c r="B284" s="243"/>
      <c r="C284" s="244"/>
      <c r="D284" s="243"/>
      <c r="E284" s="245"/>
      <c r="F284" s="246"/>
      <c r="G284" s="244"/>
      <c r="H284" s="244"/>
      <c r="I284" s="244"/>
      <c r="J284" s="244"/>
      <c r="K284" s="244"/>
      <c r="L284" s="244"/>
      <c r="M284" s="244"/>
      <c r="N284" s="244"/>
      <c r="O284" s="244"/>
      <c r="P284" s="244"/>
      <c r="Q284" s="244"/>
      <c r="R284" s="244"/>
      <c r="S284" s="244"/>
      <c r="T284" s="244"/>
      <c r="U284" s="244"/>
      <c r="V284" s="247"/>
      <c r="W284" s="247"/>
    </row>
    <row r="285" spans="1:23" ht="12.75">
      <c r="A285" s="243"/>
      <c r="B285" s="243"/>
      <c r="C285" s="244"/>
      <c r="D285" s="243"/>
      <c r="E285" s="245"/>
      <c r="F285" s="246"/>
      <c r="G285" s="244"/>
      <c r="H285" s="244"/>
      <c r="I285" s="244"/>
      <c r="J285" s="244"/>
      <c r="K285" s="244"/>
      <c r="L285" s="244"/>
      <c r="M285" s="244"/>
      <c r="N285" s="244"/>
      <c r="O285" s="244"/>
      <c r="P285" s="244"/>
      <c r="Q285" s="244"/>
      <c r="R285" s="244"/>
      <c r="S285" s="244"/>
      <c r="T285" s="244"/>
      <c r="U285" s="244"/>
      <c r="V285" s="247"/>
      <c r="W285" s="247"/>
    </row>
    <row r="286" spans="1:23" ht="12.75">
      <c r="A286" s="243"/>
      <c r="B286" s="243"/>
      <c r="C286" s="244"/>
      <c r="D286" s="243"/>
      <c r="E286" s="245"/>
      <c r="F286" s="246"/>
      <c r="G286" s="244"/>
      <c r="H286" s="244"/>
      <c r="I286" s="244"/>
      <c r="J286" s="244"/>
      <c r="K286" s="244"/>
      <c r="L286" s="244"/>
      <c r="M286" s="244"/>
      <c r="N286" s="244"/>
      <c r="O286" s="244"/>
      <c r="P286" s="244"/>
      <c r="Q286" s="244"/>
      <c r="R286" s="244"/>
      <c r="S286" s="244"/>
      <c r="T286" s="244"/>
      <c r="U286" s="244"/>
      <c r="V286" s="247"/>
      <c r="W286" s="247"/>
    </row>
    <row r="287" spans="1:23" ht="12.75">
      <c r="A287" s="243"/>
      <c r="B287" s="243"/>
      <c r="C287" s="244"/>
      <c r="D287" s="243"/>
      <c r="E287" s="245"/>
      <c r="F287" s="246"/>
      <c r="G287" s="244"/>
      <c r="H287" s="244"/>
      <c r="I287" s="244"/>
      <c r="J287" s="244"/>
      <c r="K287" s="244"/>
      <c r="L287" s="244"/>
      <c r="M287" s="244"/>
      <c r="N287" s="244"/>
      <c r="O287" s="244"/>
      <c r="P287" s="244"/>
      <c r="Q287" s="244"/>
      <c r="R287" s="244"/>
      <c r="S287" s="244"/>
      <c r="T287" s="244"/>
      <c r="U287" s="244"/>
      <c r="V287" s="247"/>
      <c r="W287" s="247"/>
    </row>
    <row r="288" spans="1:23" ht="12.75">
      <c r="A288" s="243"/>
      <c r="B288" s="243"/>
      <c r="C288" s="244"/>
      <c r="D288" s="243"/>
      <c r="E288" s="245"/>
      <c r="F288" s="246"/>
      <c r="G288" s="244"/>
      <c r="H288" s="244"/>
      <c r="I288" s="244"/>
      <c r="J288" s="244"/>
      <c r="K288" s="244"/>
      <c r="L288" s="244"/>
      <c r="M288" s="244"/>
      <c r="N288" s="244"/>
      <c r="O288" s="244"/>
      <c r="P288" s="244"/>
      <c r="Q288" s="244"/>
      <c r="R288" s="244"/>
      <c r="S288" s="244"/>
      <c r="T288" s="244"/>
      <c r="U288" s="244"/>
      <c r="V288" s="247"/>
      <c r="W288" s="247"/>
    </row>
    <row r="289" spans="1:23" ht="12.75">
      <c r="A289" s="243"/>
      <c r="B289" s="243"/>
      <c r="C289" s="244"/>
      <c r="D289" s="243"/>
      <c r="E289" s="245"/>
      <c r="F289" s="246"/>
      <c r="G289" s="244"/>
      <c r="H289" s="244"/>
      <c r="I289" s="244"/>
      <c r="J289" s="244"/>
      <c r="K289" s="244"/>
      <c r="L289" s="244"/>
      <c r="M289" s="244"/>
      <c r="N289" s="244"/>
      <c r="O289" s="244"/>
      <c r="P289" s="244"/>
      <c r="Q289" s="244"/>
      <c r="R289" s="244"/>
      <c r="S289" s="244"/>
      <c r="T289" s="244"/>
      <c r="U289" s="244"/>
      <c r="V289" s="247"/>
      <c r="W289" s="247"/>
    </row>
    <row r="290" spans="1:23" ht="12.75">
      <c r="A290" s="243"/>
      <c r="B290" s="243"/>
      <c r="C290" s="244"/>
      <c r="D290" s="243"/>
      <c r="E290" s="245"/>
      <c r="F290" s="246"/>
      <c r="G290" s="244"/>
      <c r="H290" s="244"/>
      <c r="I290" s="244"/>
      <c r="J290" s="244"/>
      <c r="K290" s="244"/>
      <c r="L290" s="244"/>
      <c r="M290" s="244"/>
      <c r="N290" s="244"/>
      <c r="O290" s="244"/>
      <c r="P290" s="244"/>
      <c r="Q290" s="244"/>
      <c r="R290" s="244"/>
      <c r="S290" s="244"/>
      <c r="T290" s="244"/>
      <c r="U290" s="244"/>
      <c r="V290" s="247"/>
      <c r="W290" s="247"/>
    </row>
    <row r="291" spans="1:23" ht="12.75">
      <c r="A291" s="243"/>
      <c r="B291" s="243"/>
      <c r="C291" s="244"/>
      <c r="D291" s="243"/>
      <c r="E291" s="245"/>
      <c r="F291" s="246"/>
      <c r="G291" s="244"/>
      <c r="H291" s="244"/>
      <c r="I291" s="244"/>
      <c r="J291" s="244"/>
      <c r="K291" s="244"/>
      <c r="L291" s="244"/>
      <c r="M291" s="244"/>
      <c r="N291" s="244"/>
      <c r="O291" s="244"/>
      <c r="P291" s="244"/>
      <c r="Q291" s="244"/>
      <c r="R291" s="244"/>
      <c r="S291" s="244"/>
      <c r="T291" s="244"/>
      <c r="U291" s="244"/>
      <c r="V291" s="247"/>
      <c r="W291" s="247"/>
    </row>
    <row r="292" spans="1:23" ht="12.75">
      <c r="A292" s="243"/>
      <c r="B292" s="243"/>
      <c r="C292" s="244"/>
      <c r="D292" s="243"/>
      <c r="E292" s="245"/>
      <c r="F292" s="246"/>
      <c r="G292" s="244"/>
      <c r="H292" s="244"/>
      <c r="I292" s="244"/>
      <c r="J292" s="244"/>
      <c r="K292" s="244"/>
      <c r="L292" s="244"/>
      <c r="M292" s="244"/>
      <c r="N292" s="244"/>
      <c r="O292" s="244"/>
      <c r="P292" s="244"/>
      <c r="Q292" s="244"/>
      <c r="R292" s="244"/>
      <c r="S292" s="244"/>
      <c r="T292" s="244"/>
      <c r="U292" s="244"/>
      <c r="V292" s="247"/>
      <c r="W292" s="247"/>
    </row>
    <row r="293" spans="1:23" ht="12.75">
      <c r="A293" s="243"/>
      <c r="B293" s="243"/>
      <c r="C293" s="244"/>
      <c r="D293" s="243"/>
      <c r="E293" s="245"/>
      <c r="F293" s="246"/>
      <c r="G293" s="244"/>
      <c r="H293" s="244"/>
      <c r="I293" s="244"/>
      <c r="J293" s="244"/>
      <c r="K293" s="244"/>
      <c r="L293" s="244"/>
      <c r="M293" s="244"/>
      <c r="N293" s="244"/>
      <c r="O293" s="244"/>
      <c r="P293" s="244"/>
      <c r="Q293" s="244"/>
      <c r="R293" s="244"/>
      <c r="S293" s="244"/>
      <c r="T293" s="244"/>
      <c r="U293" s="244"/>
      <c r="V293" s="247"/>
      <c r="W293" s="247"/>
    </row>
    <row r="294" spans="1:23" ht="12.75">
      <c r="A294" s="243"/>
      <c r="B294" s="243"/>
      <c r="C294" s="244"/>
      <c r="D294" s="243"/>
      <c r="E294" s="245"/>
      <c r="F294" s="246"/>
      <c r="G294" s="244"/>
      <c r="H294" s="244"/>
      <c r="I294" s="244"/>
      <c r="J294" s="244"/>
      <c r="K294" s="244"/>
      <c r="L294" s="244"/>
      <c r="M294" s="244"/>
      <c r="N294" s="244"/>
      <c r="O294" s="244"/>
      <c r="P294" s="244"/>
      <c r="Q294" s="244"/>
      <c r="R294" s="244"/>
      <c r="S294" s="244"/>
      <c r="T294" s="244"/>
      <c r="U294" s="244"/>
      <c r="V294" s="247"/>
      <c r="W294" s="247"/>
    </row>
    <row r="295" spans="1:23" ht="12.75">
      <c r="A295" s="243"/>
      <c r="B295" s="243"/>
      <c r="C295" s="244"/>
      <c r="D295" s="243"/>
      <c r="E295" s="245"/>
      <c r="F295" s="246"/>
      <c r="G295" s="244"/>
      <c r="H295" s="244"/>
      <c r="I295" s="244"/>
      <c r="J295" s="244"/>
      <c r="K295" s="244"/>
      <c r="L295" s="244"/>
      <c r="M295" s="244"/>
      <c r="N295" s="244"/>
      <c r="O295" s="244"/>
      <c r="P295" s="244"/>
      <c r="Q295" s="244"/>
      <c r="R295" s="244"/>
      <c r="S295" s="244"/>
      <c r="T295" s="244"/>
      <c r="U295" s="244"/>
      <c r="V295" s="247"/>
      <c r="W295" s="247"/>
    </row>
    <row r="296" spans="1:23" ht="12.75">
      <c r="A296" s="243"/>
      <c r="B296" s="243"/>
      <c r="C296" s="244"/>
      <c r="D296" s="243"/>
      <c r="E296" s="245"/>
      <c r="F296" s="246"/>
      <c r="G296" s="244"/>
      <c r="H296" s="244"/>
      <c r="I296" s="244"/>
      <c r="J296" s="244"/>
      <c r="K296" s="244"/>
      <c r="L296" s="244"/>
      <c r="M296" s="244"/>
      <c r="N296" s="244"/>
      <c r="O296" s="244"/>
      <c r="P296" s="244"/>
      <c r="Q296" s="244"/>
      <c r="R296" s="244"/>
      <c r="S296" s="244"/>
      <c r="T296" s="244"/>
      <c r="U296" s="244"/>
      <c r="V296" s="247"/>
      <c r="W296" s="247"/>
    </row>
    <row r="297" spans="1:23" ht="12.75">
      <c r="A297" s="243"/>
      <c r="B297" s="243"/>
      <c r="C297" s="244"/>
      <c r="D297" s="243"/>
      <c r="E297" s="245"/>
      <c r="F297" s="246"/>
      <c r="G297" s="244"/>
      <c r="H297" s="244"/>
      <c r="I297" s="244"/>
      <c r="J297" s="244"/>
      <c r="K297" s="244"/>
      <c r="L297" s="244"/>
      <c r="M297" s="244"/>
      <c r="N297" s="244"/>
      <c r="O297" s="244"/>
      <c r="P297" s="244"/>
      <c r="Q297" s="244"/>
      <c r="R297" s="244"/>
      <c r="S297" s="244"/>
      <c r="T297" s="244"/>
      <c r="U297" s="244"/>
      <c r="V297" s="247"/>
      <c r="W297" s="247"/>
    </row>
    <row r="298" spans="1:23" ht="12.75">
      <c r="A298" s="243"/>
      <c r="B298" s="243"/>
      <c r="C298" s="244"/>
      <c r="D298" s="243"/>
      <c r="E298" s="245"/>
      <c r="F298" s="246"/>
      <c r="G298" s="244"/>
      <c r="H298" s="244"/>
      <c r="I298" s="244"/>
      <c r="J298" s="244"/>
      <c r="K298" s="244"/>
      <c r="L298" s="244"/>
      <c r="M298" s="244"/>
      <c r="N298" s="244"/>
      <c r="O298" s="244"/>
      <c r="P298" s="244"/>
      <c r="Q298" s="244"/>
      <c r="R298" s="244"/>
      <c r="S298" s="244"/>
      <c r="T298" s="244"/>
      <c r="U298" s="244"/>
      <c r="V298" s="247"/>
      <c r="W298" s="247"/>
    </row>
    <row r="299" spans="1:23" ht="12.75">
      <c r="A299" s="243"/>
      <c r="B299" s="243"/>
      <c r="C299" s="244"/>
      <c r="D299" s="243"/>
      <c r="E299" s="245"/>
      <c r="F299" s="246"/>
      <c r="G299" s="244"/>
      <c r="H299" s="244"/>
      <c r="I299" s="244"/>
      <c r="J299" s="244"/>
      <c r="K299" s="244"/>
      <c r="L299" s="244"/>
      <c r="M299" s="244"/>
      <c r="N299" s="244"/>
      <c r="O299" s="244"/>
      <c r="P299" s="244"/>
      <c r="Q299" s="244"/>
      <c r="R299" s="244"/>
      <c r="S299" s="244"/>
      <c r="T299" s="244"/>
      <c r="U299" s="244"/>
      <c r="V299" s="247"/>
      <c r="W299" s="247"/>
    </row>
    <row r="300" spans="1:23" ht="12.75">
      <c r="A300" s="243"/>
      <c r="B300" s="243"/>
      <c r="C300" s="244"/>
      <c r="D300" s="243"/>
      <c r="E300" s="245"/>
      <c r="F300" s="246"/>
      <c r="G300" s="244"/>
      <c r="H300" s="244"/>
      <c r="I300" s="244"/>
      <c r="J300" s="244"/>
      <c r="K300" s="244"/>
      <c r="L300" s="244"/>
      <c r="M300" s="244"/>
      <c r="N300" s="244"/>
      <c r="O300" s="244"/>
      <c r="P300" s="244"/>
      <c r="Q300" s="244"/>
      <c r="R300" s="244"/>
      <c r="S300" s="244"/>
      <c r="T300" s="244"/>
      <c r="U300" s="244"/>
      <c r="V300" s="247"/>
      <c r="W300" s="247"/>
    </row>
    <row r="301" spans="1:23" ht="12.75">
      <c r="A301" s="243"/>
      <c r="B301" s="243"/>
      <c r="C301" s="244"/>
      <c r="D301" s="243"/>
      <c r="E301" s="245"/>
      <c r="F301" s="246"/>
      <c r="G301" s="244"/>
      <c r="H301" s="244"/>
      <c r="I301" s="244"/>
      <c r="J301" s="244"/>
      <c r="K301" s="244"/>
      <c r="L301" s="244"/>
      <c r="M301" s="244"/>
      <c r="N301" s="244"/>
      <c r="O301" s="244"/>
      <c r="P301" s="244"/>
      <c r="Q301" s="244"/>
      <c r="R301" s="244"/>
      <c r="S301" s="244"/>
      <c r="T301" s="244"/>
      <c r="U301" s="244"/>
      <c r="V301" s="247"/>
      <c r="W301" s="247"/>
    </row>
    <row r="302" spans="1:23" ht="12.75">
      <c r="A302" s="243"/>
      <c r="B302" s="243"/>
      <c r="C302" s="244"/>
      <c r="D302" s="243"/>
      <c r="E302" s="245"/>
      <c r="F302" s="246"/>
      <c r="G302" s="244"/>
      <c r="H302" s="244"/>
      <c r="I302" s="244"/>
      <c r="J302" s="244"/>
      <c r="K302" s="244"/>
      <c r="L302" s="244"/>
      <c r="M302" s="244"/>
      <c r="N302" s="244"/>
      <c r="O302" s="244"/>
      <c r="P302" s="244"/>
      <c r="Q302" s="244"/>
      <c r="R302" s="244"/>
      <c r="S302" s="244"/>
      <c r="T302" s="244"/>
      <c r="U302" s="244"/>
      <c r="V302" s="247"/>
      <c r="W302" s="247"/>
    </row>
    <row r="303" spans="1:23" ht="12.75">
      <c r="A303" s="243"/>
      <c r="B303" s="243"/>
      <c r="C303" s="244"/>
      <c r="D303" s="243"/>
      <c r="E303" s="245"/>
      <c r="F303" s="246"/>
      <c r="G303" s="244"/>
      <c r="H303" s="244"/>
      <c r="I303" s="244"/>
      <c r="J303" s="244"/>
      <c r="K303" s="244"/>
      <c r="L303" s="244"/>
      <c r="M303" s="244"/>
      <c r="N303" s="244"/>
      <c r="O303" s="244"/>
      <c r="P303" s="244"/>
      <c r="Q303" s="244"/>
      <c r="R303" s="244"/>
      <c r="S303" s="244"/>
      <c r="T303" s="244"/>
      <c r="U303" s="244"/>
      <c r="V303" s="247"/>
      <c r="W303" s="247"/>
    </row>
    <row r="304" spans="1:23" ht="12.75">
      <c r="A304" s="243"/>
      <c r="B304" s="243"/>
      <c r="C304" s="244"/>
      <c r="D304" s="243"/>
      <c r="E304" s="245"/>
      <c r="F304" s="246"/>
      <c r="G304" s="244"/>
      <c r="H304" s="244"/>
      <c r="I304" s="244"/>
      <c r="J304" s="244"/>
      <c r="K304" s="244"/>
      <c r="L304" s="244"/>
      <c r="M304" s="244"/>
      <c r="N304" s="244"/>
      <c r="O304" s="244"/>
      <c r="P304" s="244"/>
      <c r="Q304" s="244"/>
      <c r="R304" s="244"/>
      <c r="S304" s="244"/>
      <c r="T304" s="244"/>
      <c r="U304" s="244"/>
      <c r="V304" s="247"/>
      <c r="W304" s="247"/>
    </row>
    <row r="305" spans="1:23" ht="12.75">
      <c r="A305" s="243"/>
      <c r="B305" s="243"/>
      <c r="C305" s="244"/>
      <c r="D305" s="243"/>
      <c r="E305" s="245"/>
      <c r="F305" s="246"/>
      <c r="G305" s="244"/>
      <c r="H305" s="244"/>
      <c r="I305" s="244"/>
      <c r="J305" s="244"/>
      <c r="K305" s="244"/>
      <c r="L305" s="244"/>
      <c r="M305" s="244"/>
      <c r="N305" s="244"/>
      <c r="O305" s="244"/>
      <c r="P305" s="244"/>
      <c r="Q305" s="244"/>
      <c r="R305" s="244"/>
      <c r="S305" s="244"/>
      <c r="T305" s="244"/>
      <c r="U305" s="244"/>
      <c r="V305" s="247"/>
      <c r="W305" s="247"/>
    </row>
    <row r="306" spans="1:23" ht="12.75">
      <c r="A306" s="243"/>
      <c r="B306" s="243"/>
      <c r="C306" s="244"/>
      <c r="D306" s="243"/>
      <c r="E306" s="245"/>
      <c r="F306" s="246"/>
      <c r="G306" s="244"/>
      <c r="H306" s="244"/>
      <c r="I306" s="244"/>
      <c r="J306" s="244"/>
      <c r="K306" s="244"/>
      <c r="L306" s="244"/>
      <c r="M306" s="244"/>
      <c r="N306" s="244"/>
      <c r="O306" s="244"/>
      <c r="P306" s="244"/>
      <c r="Q306" s="244"/>
      <c r="R306" s="244"/>
      <c r="S306" s="244"/>
      <c r="T306" s="244"/>
      <c r="U306" s="244"/>
      <c r="V306" s="247"/>
      <c r="W306" s="247"/>
    </row>
    <row r="307" spans="1:23" ht="12.75">
      <c r="A307" s="243"/>
      <c r="B307" s="243"/>
      <c r="C307" s="244"/>
      <c r="D307" s="243"/>
      <c r="E307" s="245"/>
      <c r="F307" s="246"/>
      <c r="G307" s="244"/>
      <c r="H307" s="244"/>
      <c r="I307" s="244"/>
      <c r="J307" s="244"/>
      <c r="K307" s="244"/>
      <c r="L307" s="244"/>
      <c r="M307" s="244"/>
      <c r="N307" s="244"/>
      <c r="O307" s="244"/>
      <c r="P307" s="244"/>
      <c r="Q307" s="244"/>
      <c r="R307" s="244"/>
      <c r="S307" s="244"/>
      <c r="T307" s="244"/>
      <c r="U307" s="244"/>
      <c r="V307" s="247"/>
      <c r="W307" s="247"/>
    </row>
    <row r="308" spans="1:23" ht="12.75">
      <c r="A308" s="243"/>
      <c r="B308" s="243"/>
      <c r="C308" s="244"/>
      <c r="D308" s="243"/>
      <c r="E308" s="245"/>
      <c r="F308" s="246"/>
      <c r="G308" s="244"/>
      <c r="H308" s="244"/>
      <c r="I308" s="244"/>
      <c r="J308" s="244"/>
      <c r="K308" s="244"/>
      <c r="L308" s="244"/>
      <c r="M308" s="244"/>
      <c r="N308" s="244"/>
      <c r="O308" s="244"/>
      <c r="P308" s="244"/>
      <c r="Q308" s="244"/>
      <c r="R308" s="244"/>
      <c r="S308" s="244"/>
      <c r="T308" s="244"/>
      <c r="U308" s="244"/>
      <c r="V308" s="247"/>
      <c r="W308" s="247"/>
    </row>
    <row r="309" spans="1:23" ht="12.75">
      <c r="A309" s="243"/>
      <c r="B309" s="243"/>
      <c r="C309" s="244"/>
      <c r="D309" s="243"/>
      <c r="E309" s="245"/>
      <c r="F309" s="246"/>
      <c r="G309" s="244"/>
      <c r="H309" s="244"/>
      <c r="I309" s="244"/>
      <c r="J309" s="244"/>
      <c r="K309" s="244"/>
      <c r="L309" s="244"/>
      <c r="M309" s="244"/>
      <c r="N309" s="244"/>
      <c r="O309" s="244"/>
      <c r="P309" s="244"/>
      <c r="Q309" s="244"/>
      <c r="R309" s="244"/>
      <c r="S309" s="244"/>
      <c r="T309" s="244"/>
      <c r="U309" s="244"/>
      <c r="V309" s="247"/>
      <c r="W309" s="247"/>
    </row>
    <row r="310" spans="1:23" ht="12.75">
      <c r="A310" s="243"/>
      <c r="B310" s="243"/>
      <c r="C310" s="244"/>
      <c r="D310" s="243"/>
      <c r="E310" s="245"/>
      <c r="F310" s="246"/>
      <c r="G310" s="244"/>
      <c r="H310" s="244"/>
      <c r="I310" s="244"/>
      <c r="J310" s="244"/>
      <c r="K310" s="244"/>
      <c r="L310" s="244"/>
      <c r="M310" s="244"/>
      <c r="N310" s="244"/>
      <c r="O310" s="244"/>
      <c r="P310" s="244"/>
      <c r="Q310" s="244"/>
      <c r="R310" s="244"/>
      <c r="S310" s="244"/>
      <c r="T310" s="244"/>
      <c r="U310" s="244"/>
      <c r="V310" s="247"/>
      <c r="W310" s="247"/>
    </row>
    <row r="311" spans="1:23" ht="12.75">
      <c r="A311" s="243"/>
      <c r="B311" s="243"/>
      <c r="C311" s="244"/>
      <c r="D311" s="243"/>
      <c r="E311" s="245"/>
      <c r="F311" s="246"/>
      <c r="G311" s="244"/>
      <c r="H311" s="244"/>
      <c r="I311" s="244"/>
      <c r="J311" s="244"/>
      <c r="K311" s="244"/>
      <c r="L311" s="244"/>
      <c r="M311" s="244"/>
      <c r="N311" s="244"/>
      <c r="O311" s="244"/>
      <c r="P311" s="244"/>
      <c r="Q311" s="244"/>
      <c r="R311" s="244"/>
      <c r="S311" s="244"/>
      <c r="T311" s="244"/>
      <c r="U311" s="244"/>
      <c r="V311" s="247"/>
      <c r="W311" s="247"/>
    </row>
    <row r="312" spans="1:23" ht="12.75">
      <c r="A312" s="243"/>
      <c r="B312" s="243"/>
      <c r="C312" s="244"/>
      <c r="D312" s="243"/>
      <c r="E312" s="245"/>
      <c r="F312" s="246"/>
      <c r="G312" s="244"/>
      <c r="H312" s="244"/>
      <c r="I312" s="244"/>
      <c r="J312" s="244"/>
      <c r="K312" s="244"/>
      <c r="L312" s="244"/>
      <c r="M312" s="244"/>
      <c r="N312" s="244"/>
      <c r="O312" s="244"/>
      <c r="P312" s="244"/>
      <c r="Q312" s="244"/>
      <c r="R312" s="244"/>
      <c r="S312" s="244"/>
      <c r="T312" s="244"/>
      <c r="U312" s="244"/>
      <c r="V312" s="247"/>
      <c r="W312" s="247"/>
    </row>
    <row r="313" spans="1:23" ht="12.75">
      <c r="A313" s="243"/>
      <c r="B313" s="243"/>
      <c r="C313" s="244"/>
      <c r="D313" s="243"/>
      <c r="E313" s="245"/>
      <c r="F313" s="246"/>
      <c r="G313" s="244"/>
      <c r="H313" s="244"/>
      <c r="I313" s="244"/>
      <c r="J313" s="244"/>
      <c r="K313" s="244"/>
      <c r="L313" s="244"/>
      <c r="M313" s="244"/>
      <c r="N313" s="244"/>
      <c r="O313" s="244"/>
      <c r="P313" s="244"/>
      <c r="Q313" s="244"/>
      <c r="R313" s="244"/>
      <c r="S313" s="244"/>
      <c r="T313" s="244"/>
      <c r="U313" s="244"/>
      <c r="V313" s="247"/>
      <c r="W313" s="247"/>
    </row>
    <row r="314" spans="1:23" ht="12.75">
      <c r="A314" s="243"/>
      <c r="B314" s="243"/>
      <c r="C314" s="244"/>
      <c r="D314" s="243"/>
      <c r="E314" s="245"/>
      <c r="F314" s="246"/>
      <c r="G314" s="244"/>
      <c r="H314" s="244"/>
      <c r="I314" s="244"/>
      <c r="J314" s="244"/>
      <c r="K314" s="244"/>
      <c r="L314" s="244"/>
      <c r="M314" s="244"/>
      <c r="N314" s="244"/>
      <c r="O314" s="244"/>
      <c r="P314" s="244"/>
      <c r="Q314" s="244"/>
      <c r="R314" s="244"/>
      <c r="S314" s="244"/>
      <c r="T314" s="244"/>
      <c r="U314" s="244"/>
      <c r="V314" s="247"/>
      <c r="W314" s="247"/>
    </row>
    <row r="315" spans="1:23" ht="12.75">
      <c r="A315" s="243"/>
      <c r="B315" s="243"/>
      <c r="C315" s="244"/>
      <c r="D315" s="243"/>
      <c r="E315" s="245"/>
      <c r="F315" s="246"/>
      <c r="G315" s="244"/>
      <c r="H315" s="244"/>
      <c r="I315" s="244"/>
      <c r="J315" s="244"/>
      <c r="K315" s="244"/>
      <c r="L315" s="244"/>
      <c r="M315" s="244"/>
      <c r="N315" s="244"/>
      <c r="O315" s="244"/>
      <c r="P315" s="244"/>
      <c r="Q315" s="244"/>
      <c r="R315" s="244"/>
      <c r="S315" s="244"/>
      <c r="T315" s="244"/>
      <c r="U315" s="244"/>
      <c r="V315" s="247"/>
      <c r="W315" s="247"/>
    </row>
    <row r="316" spans="1:23" ht="12.75">
      <c r="A316" s="243"/>
      <c r="B316" s="243"/>
      <c r="C316" s="244"/>
      <c r="D316" s="243"/>
      <c r="E316" s="245"/>
      <c r="F316" s="246"/>
      <c r="G316" s="244"/>
      <c r="H316" s="244"/>
      <c r="I316" s="244"/>
      <c r="J316" s="244"/>
      <c r="K316" s="244"/>
      <c r="L316" s="244"/>
      <c r="M316" s="244"/>
      <c r="N316" s="244"/>
      <c r="O316" s="244"/>
      <c r="P316" s="244"/>
      <c r="Q316" s="244"/>
      <c r="R316" s="244"/>
      <c r="S316" s="244"/>
      <c r="T316" s="244"/>
      <c r="U316" s="244"/>
      <c r="V316" s="247"/>
      <c r="W316" s="247"/>
    </row>
    <row r="317" spans="1:23" ht="12.75">
      <c r="A317" s="243"/>
      <c r="B317" s="243"/>
      <c r="C317" s="244"/>
      <c r="D317" s="243"/>
      <c r="E317" s="245"/>
      <c r="F317" s="246"/>
      <c r="G317" s="244"/>
      <c r="H317" s="244"/>
      <c r="I317" s="244"/>
      <c r="J317" s="244"/>
      <c r="K317" s="244"/>
      <c r="L317" s="244"/>
      <c r="M317" s="244"/>
      <c r="N317" s="244"/>
      <c r="O317" s="244"/>
      <c r="P317" s="244"/>
      <c r="Q317" s="244"/>
      <c r="R317" s="244"/>
      <c r="S317" s="244"/>
      <c r="T317" s="244"/>
      <c r="U317" s="244"/>
      <c r="V317" s="247"/>
      <c r="W317" s="247"/>
    </row>
    <row r="318" spans="1:23" ht="12.75">
      <c r="A318" s="243"/>
      <c r="B318" s="243"/>
      <c r="C318" s="244"/>
      <c r="D318" s="243"/>
      <c r="E318" s="245"/>
      <c r="F318" s="246"/>
      <c r="G318" s="244"/>
      <c r="H318" s="244"/>
      <c r="I318" s="244"/>
      <c r="J318" s="244"/>
      <c r="K318" s="244"/>
      <c r="L318" s="244"/>
      <c r="M318" s="244"/>
      <c r="N318" s="244"/>
      <c r="O318" s="244"/>
      <c r="P318" s="244"/>
      <c r="Q318" s="244"/>
      <c r="R318" s="244"/>
      <c r="S318" s="244"/>
      <c r="T318" s="244"/>
      <c r="U318" s="244"/>
      <c r="V318" s="247"/>
      <c r="W318" s="247"/>
    </row>
    <row r="319" spans="1:23" ht="12.75">
      <c r="A319" s="243"/>
      <c r="B319" s="243"/>
      <c r="C319" s="244"/>
      <c r="D319" s="243"/>
      <c r="E319" s="245"/>
      <c r="F319" s="246"/>
      <c r="G319" s="244"/>
      <c r="H319" s="244"/>
      <c r="I319" s="244"/>
      <c r="J319" s="244"/>
      <c r="K319" s="244"/>
      <c r="L319" s="244"/>
      <c r="M319" s="244"/>
      <c r="N319" s="244"/>
      <c r="O319" s="244"/>
      <c r="P319" s="244"/>
      <c r="Q319" s="244"/>
      <c r="R319" s="244"/>
      <c r="S319" s="244"/>
      <c r="T319" s="244"/>
      <c r="U319" s="244"/>
      <c r="V319" s="247"/>
      <c r="W319" s="247"/>
    </row>
    <row r="320" spans="1:23" ht="12.75">
      <c r="A320" s="243"/>
      <c r="B320" s="243"/>
      <c r="C320" s="244"/>
      <c r="D320" s="243"/>
      <c r="E320" s="245"/>
      <c r="F320" s="246"/>
      <c r="G320" s="244"/>
      <c r="H320" s="244"/>
      <c r="I320" s="244"/>
      <c r="J320" s="244"/>
      <c r="K320" s="244"/>
      <c r="L320" s="244"/>
      <c r="M320" s="244"/>
      <c r="N320" s="244"/>
      <c r="O320" s="244"/>
      <c r="P320" s="244"/>
      <c r="Q320" s="244"/>
      <c r="R320" s="244"/>
      <c r="S320" s="244"/>
      <c r="T320" s="244"/>
      <c r="U320" s="244"/>
      <c r="V320" s="247"/>
      <c r="W320" s="247"/>
    </row>
    <row r="321" spans="1:23" ht="12.75">
      <c r="A321" s="243"/>
      <c r="B321" s="243"/>
      <c r="C321" s="244"/>
      <c r="D321" s="243"/>
      <c r="E321" s="245"/>
      <c r="F321" s="246"/>
      <c r="G321" s="244"/>
      <c r="H321" s="244"/>
      <c r="I321" s="244"/>
      <c r="J321" s="244"/>
      <c r="K321" s="244"/>
      <c r="L321" s="244"/>
      <c r="M321" s="244"/>
      <c r="N321" s="244"/>
      <c r="O321" s="244"/>
      <c r="P321" s="244"/>
      <c r="Q321" s="244"/>
      <c r="R321" s="244"/>
      <c r="S321" s="244"/>
      <c r="T321" s="244"/>
      <c r="U321" s="244"/>
      <c r="V321" s="247"/>
      <c r="W321" s="247"/>
    </row>
    <row r="322" spans="1:23" ht="12.75">
      <c r="A322" s="243"/>
      <c r="B322" s="243"/>
      <c r="C322" s="244"/>
      <c r="D322" s="243"/>
      <c r="E322" s="245"/>
      <c r="F322" s="246"/>
      <c r="G322" s="244"/>
      <c r="H322" s="244"/>
      <c r="I322" s="244"/>
      <c r="J322" s="244"/>
      <c r="K322" s="244"/>
      <c r="L322" s="244"/>
      <c r="M322" s="244"/>
      <c r="N322" s="244"/>
      <c r="O322" s="244"/>
      <c r="P322" s="244"/>
      <c r="Q322" s="244"/>
      <c r="R322" s="244"/>
      <c r="S322" s="244"/>
      <c r="T322" s="244"/>
      <c r="U322" s="244"/>
      <c r="V322" s="247"/>
      <c r="W322" s="247"/>
    </row>
    <row r="323" spans="1:23" ht="12.75">
      <c r="A323" s="243"/>
      <c r="B323" s="243"/>
      <c r="C323" s="244"/>
      <c r="D323" s="243"/>
      <c r="E323" s="245"/>
      <c r="F323" s="246"/>
      <c r="G323" s="244"/>
      <c r="H323" s="244"/>
      <c r="I323" s="244"/>
      <c r="J323" s="244"/>
      <c r="K323" s="244"/>
      <c r="L323" s="244"/>
      <c r="M323" s="244"/>
      <c r="N323" s="244"/>
      <c r="O323" s="244"/>
      <c r="P323" s="244"/>
      <c r="Q323" s="244"/>
      <c r="R323" s="244"/>
      <c r="S323" s="244"/>
      <c r="T323" s="244"/>
      <c r="U323" s="244"/>
      <c r="V323" s="247"/>
      <c r="W323" s="247"/>
    </row>
    <row r="324" spans="1:23" ht="12.75">
      <c r="A324" s="243"/>
      <c r="B324" s="243"/>
      <c r="C324" s="244"/>
      <c r="D324" s="243"/>
      <c r="E324" s="245"/>
      <c r="F324" s="246"/>
      <c r="G324" s="244"/>
      <c r="H324" s="244"/>
      <c r="I324" s="244"/>
      <c r="J324" s="244"/>
      <c r="K324" s="244"/>
      <c r="L324" s="244"/>
      <c r="M324" s="244"/>
      <c r="N324" s="244"/>
      <c r="O324" s="244"/>
      <c r="P324" s="244"/>
      <c r="Q324" s="244"/>
      <c r="R324" s="244"/>
      <c r="S324" s="244"/>
      <c r="T324" s="244"/>
      <c r="U324" s="244"/>
      <c r="V324" s="247"/>
      <c r="W324" s="247"/>
    </row>
    <row r="325" spans="1:23" ht="12.75">
      <c r="A325" s="243"/>
      <c r="B325" s="243"/>
      <c r="C325" s="244"/>
      <c r="D325" s="243"/>
      <c r="E325" s="245"/>
      <c r="F325" s="246"/>
      <c r="G325" s="244"/>
      <c r="H325" s="244"/>
      <c r="I325" s="244"/>
      <c r="J325" s="244"/>
      <c r="K325" s="244"/>
      <c r="L325" s="244"/>
      <c r="M325" s="244"/>
      <c r="N325" s="244"/>
      <c r="O325" s="244"/>
      <c r="P325" s="244"/>
      <c r="Q325" s="244"/>
      <c r="R325" s="244"/>
      <c r="S325" s="244"/>
      <c r="T325" s="244"/>
      <c r="U325" s="244"/>
      <c r="V325" s="247"/>
      <c r="W325" s="247"/>
    </row>
    <row r="326" spans="1:23" ht="12.75">
      <c r="A326" s="243"/>
      <c r="B326" s="243"/>
      <c r="C326" s="244"/>
      <c r="D326" s="243"/>
      <c r="E326" s="245"/>
      <c r="F326" s="246"/>
      <c r="G326" s="244"/>
      <c r="H326" s="244"/>
      <c r="I326" s="244"/>
      <c r="J326" s="244"/>
      <c r="K326" s="244"/>
      <c r="L326" s="244"/>
      <c r="M326" s="244"/>
      <c r="N326" s="244"/>
      <c r="O326" s="244"/>
      <c r="P326" s="244"/>
      <c r="Q326" s="244"/>
      <c r="R326" s="244"/>
      <c r="S326" s="244"/>
      <c r="T326" s="244"/>
      <c r="U326" s="244"/>
      <c r="V326" s="247"/>
      <c r="W326" s="247"/>
    </row>
    <row r="327" spans="1:23" ht="12.75">
      <c r="A327" s="243"/>
      <c r="B327" s="243"/>
      <c r="C327" s="244"/>
      <c r="D327" s="243"/>
      <c r="E327" s="245"/>
      <c r="F327" s="246"/>
      <c r="G327" s="244"/>
      <c r="H327" s="244"/>
      <c r="I327" s="244"/>
      <c r="J327" s="244"/>
      <c r="K327" s="244"/>
      <c r="L327" s="244"/>
      <c r="M327" s="244"/>
      <c r="N327" s="244"/>
      <c r="O327" s="244"/>
      <c r="P327" s="244"/>
      <c r="Q327" s="244"/>
      <c r="R327" s="244"/>
      <c r="S327" s="244"/>
      <c r="T327" s="244"/>
      <c r="U327" s="244"/>
      <c r="V327" s="247"/>
      <c r="W327" s="247"/>
    </row>
    <row r="328" spans="1:23" ht="12.75">
      <c r="A328" s="243"/>
      <c r="B328" s="243"/>
      <c r="C328" s="244"/>
      <c r="D328" s="243"/>
      <c r="E328" s="245"/>
      <c r="F328" s="246"/>
      <c r="G328" s="244"/>
      <c r="H328" s="244"/>
      <c r="I328" s="244"/>
      <c r="J328" s="244"/>
      <c r="K328" s="244"/>
      <c r="L328" s="244"/>
      <c r="M328" s="244"/>
      <c r="N328" s="244"/>
      <c r="O328" s="244"/>
      <c r="P328" s="244"/>
      <c r="Q328" s="244"/>
      <c r="R328" s="244"/>
      <c r="S328" s="244"/>
      <c r="T328" s="244"/>
      <c r="U328" s="244"/>
      <c r="V328" s="247"/>
      <c r="W328" s="247"/>
    </row>
    <row r="329" spans="1:23" ht="12.75">
      <c r="A329" s="243"/>
      <c r="B329" s="243"/>
      <c r="C329" s="244"/>
      <c r="D329" s="243"/>
      <c r="E329" s="245"/>
      <c r="F329" s="246"/>
      <c r="G329" s="244"/>
      <c r="H329" s="244"/>
      <c r="I329" s="244"/>
      <c r="J329" s="244"/>
      <c r="K329" s="244"/>
      <c r="L329" s="244"/>
      <c r="M329" s="244"/>
      <c r="N329" s="244"/>
      <c r="O329" s="244"/>
      <c r="P329" s="244"/>
      <c r="Q329" s="244"/>
      <c r="R329" s="244"/>
      <c r="S329" s="244"/>
      <c r="T329" s="244"/>
      <c r="U329" s="244"/>
      <c r="V329" s="247"/>
      <c r="W329" s="247"/>
    </row>
    <row r="330" spans="1:23" ht="12.75">
      <c r="A330" s="243"/>
      <c r="B330" s="243"/>
      <c r="C330" s="244"/>
      <c r="D330" s="243"/>
      <c r="E330" s="245"/>
      <c r="F330" s="246"/>
      <c r="G330" s="244"/>
      <c r="H330" s="244"/>
      <c r="I330" s="244"/>
      <c r="J330" s="244"/>
      <c r="K330" s="244"/>
      <c r="L330" s="244"/>
      <c r="M330" s="244"/>
      <c r="N330" s="244"/>
      <c r="O330" s="244"/>
      <c r="P330" s="244"/>
      <c r="Q330" s="244"/>
      <c r="R330" s="244"/>
      <c r="S330" s="244"/>
      <c r="T330" s="244"/>
      <c r="U330" s="244"/>
      <c r="V330" s="247"/>
      <c r="W330" s="247"/>
    </row>
    <row r="331" spans="1:23" ht="12.75">
      <c r="A331" s="243"/>
      <c r="B331" s="243"/>
      <c r="C331" s="244"/>
      <c r="D331" s="243"/>
      <c r="E331" s="245"/>
      <c r="F331" s="246"/>
      <c r="G331" s="244"/>
      <c r="H331" s="244"/>
      <c r="I331" s="244"/>
      <c r="J331" s="244"/>
      <c r="K331" s="244"/>
      <c r="L331" s="244"/>
      <c r="M331" s="244"/>
      <c r="N331" s="244"/>
      <c r="O331" s="244"/>
      <c r="P331" s="244"/>
      <c r="Q331" s="244"/>
      <c r="R331" s="244"/>
      <c r="S331" s="244"/>
      <c r="T331" s="244"/>
      <c r="U331" s="244"/>
      <c r="V331" s="247"/>
      <c r="W331" s="247"/>
    </row>
    <row r="332" spans="1:23" ht="12.75">
      <c r="A332" s="243"/>
      <c r="B332" s="243"/>
      <c r="C332" s="244"/>
      <c r="D332" s="243"/>
      <c r="E332" s="245"/>
      <c r="F332" s="246"/>
      <c r="G332" s="244"/>
      <c r="H332" s="244"/>
      <c r="I332" s="244"/>
      <c r="J332" s="244"/>
      <c r="K332" s="244"/>
      <c r="L332" s="244"/>
      <c r="M332" s="244"/>
      <c r="N332" s="244"/>
      <c r="O332" s="244"/>
      <c r="P332" s="244"/>
      <c r="Q332" s="244"/>
      <c r="R332" s="244"/>
      <c r="S332" s="244"/>
      <c r="T332" s="244"/>
      <c r="U332" s="244"/>
      <c r="V332" s="247"/>
      <c r="W332" s="247"/>
    </row>
    <row r="333" spans="1:23" ht="12.75">
      <c r="A333" s="243"/>
      <c r="B333" s="243"/>
      <c r="C333" s="244"/>
      <c r="D333" s="243"/>
      <c r="E333" s="245"/>
      <c r="F333" s="246"/>
      <c r="G333" s="244"/>
      <c r="H333" s="244"/>
      <c r="I333" s="244"/>
      <c r="J333" s="244"/>
      <c r="K333" s="244"/>
      <c r="L333" s="244"/>
      <c r="M333" s="244"/>
      <c r="N333" s="244"/>
      <c r="O333" s="244"/>
      <c r="P333" s="244"/>
      <c r="Q333" s="244"/>
      <c r="R333" s="244"/>
      <c r="S333" s="244"/>
      <c r="T333" s="244"/>
      <c r="U333" s="244"/>
      <c r="V333" s="247"/>
      <c r="W333" s="247"/>
    </row>
    <row r="334" spans="1:23" ht="12.75">
      <c r="A334" s="243"/>
      <c r="B334" s="243"/>
      <c r="C334" s="244"/>
      <c r="D334" s="243"/>
      <c r="E334" s="245"/>
      <c r="F334" s="246"/>
      <c r="G334" s="244"/>
      <c r="H334" s="244"/>
      <c r="I334" s="244"/>
      <c r="J334" s="244"/>
      <c r="K334" s="244"/>
      <c r="L334" s="244"/>
      <c r="M334" s="244"/>
      <c r="N334" s="244"/>
      <c r="O334" s="244"/>
      <c r="P334" s="244"/>
      <c r="Q334" s="244"/>
      <c r="R334" s="244"/>
      <c r="S334" s="244"/>
      <c r="T334" s="244"/>
      <c r="U334" s="244"/>
      <c r="V334" s="247"/>
      <c r="W334" s="247"/>
    </row>
    <row r="335" spans="1:23" ht="12.75">
      <c r="A335" s="243"/>
      <c r="B335" s="243"/>
      <c r="C335" s="244"/>
      <c r="D335" s="243"/>
      <c r="E335" s="245"/>
      <c r="F335" s="246"/>
      <c r="G335" s="244"/>
      <c r="H335" s="244"/>
      <c r="I335" s="244"/>
      <c r="J335" s="244"/>
      <c r="K335" s="244"/>
      <c r="L335" s="244"/>
      <c r="M335" s="244"/>
      <c r="N335" s="244"/>
      <c r="O335" s="244"/>
      <c r="P335" s="244"/>
      <c r="Q335" s="244"/>
      <c r="R335" s="244"/>
      <c r="S335" s="244"/>
      <c r="T335" s="244"/>
      <c r="U335" s="244"/>
      <c r="V335" s="247"/>
      <c r="W335" s="247"/>
    </row>
    <row r="336" spans="1:23" ht="12.75">
      <c r="A336" s="243"/>
      <c r="B336" s="243"/>
      <c r="C336" s="244"/>
      <c r="D336" s="243"/>
      <c r="E336" s="245"/>
      <c r="F336" s="246"/>
      <c r="G336" s="244"/>
      <c r="H336" s="244"/>
      <c r="I336" s="244"/>
      <c r="J336" s="244"/>
      <c r="K336" s="244"/>
      <c r="L336" s="244"/>
      <c r="M336" s="244"/>
      <c r="N336" s="244"/>
      <c r="O336" s="244"/>
      <c r="P336" s="244"/>
      <c r="Q336" s="244"/>
      <c r="R336" s="244"/>
      <c r="S336" s="244"/>
      <c r="T336" s="244"/>
      <c r="U336" s="244"/>
      <c r="V336" s="247"/>
      <c r="W336" s="247"/>
    </row>
    <row r="337" spans="1:23" ht="12.75">
      <c r="A337" s="243"/>
      <c r="B337" s="243"/>
      <c r="C337" s="244"/>
      <c r="D337" s="243"/>
      <c r="E337" s="245"/>
      <c r="F337" s="246"/>
      <c r="G337" s="244"/>
      <c r="H337" s="244"/>
      <c r="I337" s="244"/>
      <c r="J337" s="244"/>
      <c r="K337" s="244"/>
      <c r="L337" s="244"/>
      <c r="M337" s="244"/>
      <c r="N337" s="244"/>
      <c r="O337" s="244"/>
      <c r="P337" s="244"/>
      <c r="Q337" s="244"/>
      <c r="R337" s="244"/>
      <c r="S337" s="244"/>
      <c r="T337" s="244"/>
      <c r="U337" s="244"/>
      <c r="V337" s="247"/>
      <c r="W337" s="247"/>
    </row>
    <row r="338" spans="1:23" ht="12.75">
      <c r="A338" s="243"/>
      <c r="B338" s="243"/>
      <c r="C338" s="244"/>
      <c r="D338" s="243"/>
      <c r="E338" s="245"/>
      <c r="F338" s="246"/>
      <c r="G338" s="244"/>
      <c r="H338" s="244"/>
      <c r="I338" s="244"/>
      <c r="J338" s="244"/>
      <c r="K338" s="244"/>
      <c r="L338" s="244"/>
      <c r="M338" s="244"/>
      <c r="N338" s="244"/>
      <c r="O338" s="244"/>
      <c r="P338" s="244"/>
      <c r="Q338" s="244"/>
      <c r="R338" s="244"/>
      <c r="S338" s="244"/>
      <c r="T338" s="244"/>
      <c r="U338" s="244"/>
      <c r="V338" s="247"/>
      <c r="W338" s="247"/>
    </row>
    <row r="339" spans="1:23" ht="12.75">
      <c r="A339" s="243"/>
      <c r="B339" s="243"/>
      <c r="C339" s="244"/>
      <c r="D339" s="243"/>
      <c r="E339" s="245"/>
      <c r="F339" s="246"/>
      <c r="G339" s="244"/>
      <c r="H339" s="244"/>
      <c r="I339" s="244"/>
      <c r="J339" s="244"/>
      <c r="K339" s="244"/>
      <c r="L339" s="244"/>
      <c r="M339" s="244"/>
      <c r="N339" s="244"/>
      <c r="O339" s="244"/>
      <c r="P339" s="244"/>
      <c r="Q339" s="244"/>
      <c r="R339" s="244"/>
      <c r="S339" s="244"/>
      <c r="T339" s="244"/>
      <c r="U339" s="244"/>
      <c r="V339" s="247"/>
      <c r="W339" s="247"/>
    </row>
    <row r="340" spans="1:23" ht="12.75">
      <c r="A340" s="243"/>
      <c r="B340" s="243"/>
      <c r="C340" s="244"/>
      <c r="D340" s="243"/>
      <c r="E340" s="245"/>
      <c r="F340" s="246"/>
      <c r="G340" s="244"/>
      <c r="H340" s="244"/>
      <c r="I340" s="244"/>
      <c r="J340" s="244"/>
      <c r="K340" s="244"/>
      <c r="L340" s="244"/>
      <c r="M340" s="244"/>
      <c r="N340" s="244"/>
      <c r="O340" s="244"/>
      <c r="P340" s="244"/>
      <c r="Q340" s="244"/>
      <c r="R340" s="244"/>
      <c r="S340" s="244"/>
      <c r="T340" s="244"/>
      <c r="U340" s="244"/>
      <c r="V340" s="247"/>
      <c r="W340" s="247"/>
    </row>
    <row r="341" spans="1:23" ht="12.75">
      <c r="A341" s="243"/>
      <c r="B341" s="243"/>
      <c r="C341" s="244"/>
      <c r="D341" s="243"/>
      <c r="E341" s="245"/>
      <c r="F341" s="246"/>
      <c r="G341" s="244"/>
      <c r="H341" s="244"/>
      <c r="I341" s="244"/>
      <c r="J341" s="244"/>
      <c r="K341" s="244"/>
      <c r="L341" s="244"/>
      <c r="M341" s="244"/>
      <c r="N341" s="244"/>
      <c r="O341" s="244"/>
      <c r="P341" s="244"/>
      <c r="Q341" s="244"/>
      <c r="R341" s="244"/>
      <c r="S341" s="244"/>
      <c r="T341" s="244"/>
      <c r="U341" s="244"/>
      <c r="V341" s="247"/>
      <c r="W341" s="247"/>
    </row>
    <row r="342" spans="1:23" ht="12.75">
      <c r="A342" s="243"/>
      <c r="B342" s="243"/>
      <c r="C342" s="244"/>
      <c r="D342" s="243"/>
      <c r="E342" s="245"/>
      <c r="F342" s="246"/>
      <c r="G342" s="244"/>
      <c r="H342" s="244"/>
      <c r="I342" s="244"/>
      <c r="J342" s="244"/>
      <c r="K342" s="244"/>
      <c r="L342" s="244"/>
      <c r="M342" s="244"/>
      <c r="N342" s="244"/>
      <c r="O342" s="244"/>
      <c r="P342" s="244"/>
      <c r="Q342" s="244"/>
      <c r="R342" s="244"/>
      <c r="S342" s="244"/>
      <c r="T342" s="244"/>
      <c r="U342" s="244"/>
      <c r="V342" s="247"/>
      <c r="W342" s="247"/>
    </row>
    <row r="343" spans="1:23" ht="12.75">
      <c r="A343" s="243"/>
      <c r="B343" s="243"/>
      <c r="C343" s="244"/>
      <c r="D343" s="243"/>
      <c r="E343" s="245"/>
      <c r="F343" s="246"/>
      <c r="G343" s="244"/>
      <c r="H343" s="244"/>
      <c r="I343" s="244"/>
      <c r="J343" s="244"/>
      <c r="K343" s="244"/>
      <c r="L343" s="244"/>
      <c r="M343" s="244"/>
      <c r="N343" s="244"/>
      <c r="O343" s="244"/>
      <c r="P343" s="244"/>
      <c r="Q343" s="244"/>
      <c r="R343" s="244"/>
      <c r="S343" s="244"/>
      <c r="T343" s="244"/>
      <c r="U343" s="244"/>
      <c r="V343" s="247"/>
      <c r="W343" s="247"/>
    </row>
    <row r="344" spans="1:23" ht="12.75">
      <c r="A344" s="243"/>
      <c r="B344" s="243"/>
      <c r="C344" s="244"/>
      <c r="D344" s="243"/>
      <c r="E344" s="245"/>
      <c r="F344" s="246"/>
      <c r="G344" s="244"/>
      <c r="H344" s="244"/>
      <c r="I344" s="244"/>
      <c r="J344" s="244"/>
      <c r="K344" s="244"/>
      <c r="L344" s="244"/>
      <c r="M344" s="244"/>
      <c r="N344" s="244"/>
      <c r="O344" s="244"/>
      <c r="P344" s="244"/>
      <c r="Q344" s="244"/>
      <c r="R344" s="244"/>
      <c r="S344" s="244"/>
      <c r="T344" s="244"/>
      <c r="U344" s="244"/>
      <c r="V344" s="247"/>
      <c r="W344" s="247"/>
    </row>
    <row r="345" spans="1:23" ht="12.75">
      <c r="A345" s="243"/>
      <c r="B345" s="243"/>
      <c r="C345" s="244"/>
      <c r="D345" s="243"/>
      <c r="E345" s="245"/>
      <c r="F345" s="246"/>
      <c r="G345" s="244"/>
      <c r="H345" s="244"/>
      <c r="I345" s="244"/>
      <c r="J345" s="244"/>
      <c r="K345" s="244"/>
      <c r="L345" s="244"/>
      <c r="M345" s="244"/>
      <c r="N345" s="244"/>
      <c r="O345" s="244"/>
      <c r="P345" s="244"/>
      <c r="Q345" s="244"/>
      <c r="R345" s="244"/>
      <c r="S345" s="244"/>
      <c r="T345" s="244"/>
      <c r="U345" s="244"/>
      <c r="V345" s="247"/>
      <c r="W345" s="247"/>
    </row>
    <row r="346" spans="1:23" ht="12.75">
      <c r="A346" s="243"/>
      <c r="B346" s="243"/>
      <c r="C346" s="244"/>
      <c r="D346" s="243"/>
      <c r="E346" s="245"/>
      <c r="F346" s="246"/>
      <c r="G346" s="244"/>
      <c r="H346" s="244"/>
      <c r="I346" s="244"/>
      <c r="J346" s="244"/>
      <c r="K346" s="244"/>
      <c r="L346" s="244"/>
      <c r="M346" s="244"/>
      <c r="N346" s="244"/>
      <c r="O346" s="244"/>
      <c r="P346" s="244"/>
      <c r="Q346" s="244"/>
      <c r="R346" s="244"/>
      <c r="S346" s="244"/>
      <c r="T346" s="244"/>
      <c r="U346" s="244"/>
      <c r="V346" s="247"/>
      <c r="W346" s="247"/>
    </row>
    <row r="347" spans="1:23" ht="12.75">
      <c r="A347" s="243"/>
      <c r="B347" s="243"/>
      <c r="C347" s="244"/>
      <c r="D347" s="243"/>
      <c r="E347" s="245"/>
      <c r="F347" s="246"/>
      <c r="G347" s="244"/>
      <c r="H347" s="244"/>
      <c r="I347" s="244"/>
      <c r="J347" s="244"/>
      <c r="K347" s="244"/>
      <c r="L347" s="244"/>
      <c r="M347" s="244"/>
      <c r="N347" s="244"/>
      <c r="O347" s="244"/>
      <c r="P347" s="244"/>
      <c r="Q347" s="244"/>
      <c r="R347" s="244"/>
      <c r="S347" s="244"/>
      <c r="T347" s="244"/>
      <c r="U347" s="244"/>
      <c r="V347" s="247"/>
      <c r="W347" s="247"/>
    </row>
    <row r="348" spans="1:23" ht="12.75">
      <c r="A348" s="243"/>
      <c r="B348" s="243"/>
      <c r="C348" s="244"/>
      <c r="D348" s="243"/>
      <c r="E348" s="245"/>
      <c r="F348" s="246"/>
      <c r="G348" s="244"/>
      <c r="H348" s="244"/>
      <c r="I348" s="244"/>
      <c r="J348" s="244"/>
      <c r="K348" s="244"/>
      <c r="L348" s="244"/>
      <c r="M348" s="244"/>
      <c r="N348" s="244"/>
      <c r="O348" s="244"/>
      <c r="P348" s="244"/>
      <c r="Q348" s="244"/>
      <c r="R348" s="244"/>
      <c r="S348" s="244"/>
      <c r="T348" s="244"/>
      <c r="U348" s="244"/>
      <c r="V348" s="247"/>
      <c r="W348" s="247"/>
    </row>
    <row r="349" spans="1:23" ht="12.75">
      <c r="A349" s="243"/>
      <c r="B349" s="243"/>
      <c r="C349" s="244"/>
      <c r="D349" s="243"/>
      <c r="E349" s="245"/>
      <c r="F349" s="246"/>
      <c r="G349" s="244"/>
      <c r="H349" s="244"/>
      <c r="I349" s="244"/>
      <c r="J349" s="244"/>
      <c r="K349" s="244"/>
      <c r="L349" s="244"/>
      <c r="M349" s="244"/>
      <c r="N349" s="244"/>
      <c r="O349" s="244"/>
      <c r="P349" s="244"/>
      <c r="Q349" s="244"/>
      <c r="R349" s="244"/>
      <c r="S349" s="244"/>
      <c r="T349" s="244"/>
      <c r="U349" s="244"/>
      <c r="V349" s="247"/>
      <c r="W349" s="247"/>
    </row>
    <row r="350" spans="1:23" ht="12.75">
      <c r="A350" s="243"/>
      <c r="B350" s="243"/>
      <c r="C350" s="244"/>
      <c r="D350" s="243"/>
      <c r="E350" s="245"/>
      <c r="F350" s="246"/>
      <c r="G350" s="244"/>
      <c r="H350" s="244"/>
      <c r="I350" s="244"/>
      <c r="J350" s="244"/>
      <c r="K350" s="244"/>
      <c r="L350" s="244"/>
      <c r="M350" s="244"/>
      <c r="N350" s="244"/>
      <c r="O350" s="244"/>
      <c r="P350" s="244"/>
      <c r="Q350" s="244"/>
      <c r="R350" s="244"/>
      <c r="S350" s="244"/>
      <c r="T350" s="244"/>
      <c r="U350" s="244"/>
      <c r="V350" s="247"/>
      <c r="W350" s="247"/>
    </row>
    <row r="351" spans="1:23" ht="12.75">
      <c r="A351" s="243"/>
      <c r="B351" s="243"/>
      <c r="C351" s="244"/>
      <c r="D351" s="243"/>
      <c r="E351" s="245"/>
      <c r="F351" s="246"/>
      <c r="G351" s="244"/>
      <c r="H351" s="244"/>
      <c r="I351" s="244"/>
      <c r="J351" s="244"/>
      <c r="K351" s="244"/>
      <c r="L351" s="244"/>
      <c r="M351" s="244"/>
      <c r="N351" s="244"/>
      <c r="O351" s="244"/>
      <c r="P351" s="244"/>
      <c r="Q351" s="244"/>
      <c r="R351" s="244"/>
      <c r="S351" s="244"/>
      <c r="T351" s="244"/>
      <c r="U351" s="244"/>
      <c r="V351" s="247"/>
      <c r="W351" s="247"/>
    </row>
    <row r="352" spans="1:23" ht="12.75">
      <c r="A352" s="243"/>
      <c r="B352" s="243"/>
      <c r="C352" s="244"/>
      <c r="D352" s="243"/>
      <c r="E352" s="245"/>
      <c r="F352" s="246"/>
      <c r="G352" s="244"/>
      <c r="H352" s="244"/>
      <c r="I352" s="244"/>
      <c r="J352" s="244"/>
      <c r="K352" s="244"/>
      <c r="L352" s="244"/>
      <c r="M352" s="244"/>
      <c r="N352" s="244"/>
      <c r="O352" s="244"/>
      <c r="P352" s="244"/>
      <c r="Q352" s="244"/>
      <c r="R352" s="244"/>
      <c r="S352" s="244"/>
      <c r="T352" s="244"/>
      <c r="U352" s="244"/>
      <c r="V352" s="247"/>
      <c r="W352" s="247"/>
    </row>
    <row r="353" spans="1:23" ht="12.75">
      <c r="A353" s="243"/>
      <c r="B353" s="243"/>
      <c r="C353" s="244"/>
      <c r="D353" s="243"/>
      <c r="E353" s="245"/>
      <c r="F353" s="246"/>
      <c r="G353" s="244"/>
      <c r="H353" s="244"/>
      <c r="I353" s="244"/>
      <c r="J353" s="244"/>
      <c r="K353" s="244"/>
      <c r="L353" s="244"/>
      <c r="M353" s="244"/>
      <c r="N353" s="244"/>
      <c r="O353" s="244"/>
      <c r="P353" s="244"/>
      <c r="Q353" s="244"/>
      <c r="R353" s="244"/>
      <c r="S353" s="244"/>
      <c r="T353" s="244"/>
      <c r="U353" s="244"/>
      <c r="V353" s="247"/>
      <c r="W353" s="247"/>
    </row>
    <row r="354" spans="1:23" ht="12.75">
      <c r="A354" s="243"/>
      <c r="B354" s="243"/>
      <c r="C354" s="244"/>
      <c r="D354" s="243"/>
      <c r="E354" s="245"/>
      <c r="F354" s="246"/>
      <c r="G354" s="244"/>
      <c r="H354" s="244"/>
      <c r="I354" s="244"/>
      <c r="J354" s="244"/>
      <c r="K354" s="244"/>
      <c r="L354" s="244"/>
      <c r="M354" s="244"/>
      <c r="N354" s="244"/>
      <c r="O354" s="244"/>
      <c r="P354" s="244"/>
      <c r="Q354" s="244"/>
      <c r="R354" s="244"/>
      <c r="S354" s="244"/>
      <c r="T354" s="244"/>
      <c r="U354" s="244"/>
      <c r="V354" s="247"/>
      <c r="W354" s="247"/>
    </row>
    <row r="355" spans="1:23" ht="12.75">
      <c r="A355" s="243"/>
      <c r="B355" s="243"/>
      <c r="C355" s="244"/>
      <c r="D355" s="243"/>
      <c r="E355" s="245"/>
      <c r="F355" s="246"/>
      <c r="G355" s="244"/>
      <c r="H355" s="244"/>
      <c r="I355" s="244"/>
      <c r="J355" s="244"/>
      <c r="K355" s="244"/>
      <c r="L355" s="244"/>
      <c r="M355" s="244"/>
      <c r="N355" s="244"/>
      <c r="O355" s="244"/>
      <c r="P355" s="244"/>
      <c r="Q355" s="244"/>
      <c r="R355" s="244"/>
      <c r="S355" s="244"/>
      <c r="T355" s="244"/>
      <c r="U355" s="244"/>
      <c r="V355" s="247"/>
      <c r="W355" s="247"/>
    </row>
    <row r="356" spans="1:23" ht="12.75">
      <c r="A356" s="243"/>
      <c r="B356" s="243"/>
      <c r="C356" s="244"/>
      <c r="D356" s="243"/>
      <c r="E356" s="245"/>
      <c r="F356" s="246"/>
      <c r="G356" s="244"/>
      <c r="H356" s="244"/>
      <c r="I356" s="244"/>
      <c r="J356" s="244"/>
      <c r="K356" s="244"/>
      <c r="L356" s="244"/>
      <c r="M356" s="244"/>
      <c r="N356" s="244"/>
      <c r="O356" s="244"/>
      <c r="P356" s="244"/>
      <c r="Q356" s="244"/>
      <c r="R356" s="244"/>
      <c r="S356" s="244"/>
      <c r="T356" s="244"/>
      <c r="U356" s="244"/>
      <c r="V356" s="247"/>
      <c r="W356" s="247"/>
    </row>
    <row r="357" spans="1:23" ht="12.75">
      <c r="A357" s="243"/>
      <c r="B357" s="243"/>
      <c r="C357" s="244"/>
      <c r="D357" s="243"/>
      <c r="E357" s="245"/>
      <c r="F357" s="246"/>
      <c r="G357" s="244"/>
      <c r="H357" s="244"/>
      <c r="I357" s="244"/>
      <c r="J357" s="244"/>
      <c r="K357" s="244"/>
      <c r="L357" s="244"/>
      <c r="M357" s="244"/>
      <c r="N357" s="244"/>
      <c r="O357" s="244"/>
      <c r="P357" s="244"/>
      <c r="Q357" s="244"/>
      <c r="R357" s="244"/>
      <c r="S357" s="244"/>
      <c r="T357" s="244"/>
      <c r="U357" s="244"/>
      <c r="V357" s="247"/>
      <c r="W357" s="247"/>
    </row>
    <row r="358" spans="1:23" ht="12.75">
      <c r="A358" s="243"/>
      <c r="B358" s="243"/>
      <c r="C358" s="244"/>
      <c r="D358" s="243"/>
      <c r="E358" s="245"/>
      <c r="F358" s="246"/>
      <c r="G358" s="244"/>
      <c r="H358" s="244"/>
      <c r="I358" s="244"/>
      <c r="J358" s="244"/>
      <c r="K358" s="244"/>
      <c r="L358" s="244"/>
      <c r="M358" s="244"/>
      <c r="N358" s="244"/>
      <c r="O358" s="244"/>
      <c r="P358" s="244"/>
      <c r="Q358" s="244"/>
      <c r="R358" s="244"/>
      <c r="S358" s="244"/>
      <c r="T358" s="244"/>
      <c r="U358" s="244"/>
      <c r="V358" s="247"/>
      <c r="W358" s="247"/>
    </row>
    <row r="359" spans="1:23" ht="12.75">
      <c r="A359" s="243"/>
      <c r="B359" s="243"/>
      <c r="C359" s="244"/>
      <c r="D359" s="243"/>
      <c r="E359" s="245"/>
      <c r="F359" s="246"/>
      <c r="G359" s="244"/>
      <c r="H359" s="244"/>
      <c r="I359" s="244"/>
      <c r="J359" s="244"/>
      <c r="K359" s="244"/>
      <c r="L359" s="244"/>
      <c r="M359" s="244"/>
      <c r="N359" s="244"/>
      <c r="O359" s="244"/>
      <c r="P359" s="244"/>
      <c r="Q359" s="244"/>
      <c r="R359" s="244"/>
      <c r="S359" s="244"/>
      <c r="T359" s="244"/>
      <c r="U359" s="244"/>
      <c r="V359" s="247"/>
      <c r="W359" s="247"/>
    </row>
    <row r="360" spans="1:23" ht="12.75">
      <c r="A360" s="243"/>
      <c r="B360" s="243"/>
      <c r="C360" s="244"/>
      <c r="D360" s="243"/>
      <c r="E360" s="245"/>
      <c r="F360" s="246"/>
      <c r="G360" s="244"/>
      <c r="H360" s="244"/>
      <c r="I360" s="244"/>
      <c r="J360" s="244"/>
      <c r="K360" s="244"/>
      <c r="L360" s="244"/>
      <c r="M360" s="244"/>
      <c r="N360" s="244"/>
      <c r="O360" s="244"/>
      <c r="P360" s="244"/>
      <c r="Q360" s="244"/>
      <c r="R360" s="244"/>
      <c r="S360" s="244"/>
      <c r="T360" s="244"/>
      <c r="U360" s="244"/>
      <c r="V360" s="247"/>
      <c r="W360" s="247"/>
    </row>
    <row r="361" spans="1:23" ht="12.75">
      <c r="A361" s="243"/>
      <c r="B361" s="243"/>
      <c r="C361" s="244"/>
      <c r="D361" s="243"/>
      <c r="E361" s="245"/>
      <c r="F361" s="246"/>
      <c r="G361" s="244"/>
      <c r="H361" s="244"/>
      <c r="I361" s="244"/>
      <c r="J361" s="244"/>
      <c r="K361" s="244"/>
      <c r="L361" s="244"/>
      <c r="M361" s="244"/>
      <c r="N361" s="244"/>
      <c r="O361" s="244"/>
      <c r="P361" s="244"/>
      <c r="Q361" s="244"/>
      <c r="R361" s="244"/>
      <c r="S361" s="244"/>
      <c r="T361" s="244"/>
      <c r="U361" s="244"/>
      <c r="V361" s="247"/>
      <c r="W361" s="247"/>
    </row>
    <row r="362" spans="1:23" ht="12.75">
      <c r="A362" s="243"/>
      <c r="B362" s="243"/>
      <c r="C362" s="244"/>
      <c r="D362" s="243"/>
      <c r="E362" s="245"/>
      <c r="F362" s="246"/>
      <c r="G362" s="244"/>
      <c r="H362" s="244"/>
      <c r="I362" s="244"/>
      <c r="J362" s="244"/>
      <c r="K362" s="244"/>
      <c r="L362" s="244"/>
      <c r="M362" s="244"/>
      <c r="N362" s="244"/>
      <c r="O362" s="244"/>
      <c r="P362" s="244"/>
      <c r="Q362" s="244"/>
      <c r="R362" s="244"/>
      <c r="S362" s="244"/>
      <c r="T362" s="244"/>
      <c r="U362" s="244"/>
      <c r="V362" s="247"/>
      <c r="W362" s="247"/>
    </row>
    <row r="363" spans="1:23" ht="12.75">
      <c r="A363" s="243"/>
      <c r="B363" s="243"/>
      <c r="C363" s="244"/>
      <c r="D363" s="243"/>
      <c r="E363" s="245"/>
      <c r="F363" s="246"/>
      <c r="G363" s="244"/>
      <c r="H363" s="244"/>
      <c r="I363" s="244"/>
      <c r="J363" s="244"/>
      <c r="K363" s="244"/>
      <c r="L363" s="244"/>
      <c r="M363" s="244"/>
      <c r="N363" s="244"/>
      <c r="O363" s="244"/>
      <c r="P363" s="244"/>
      <c r="Q363" s="244"/>
      <c r="R363" s="244"/>
      <c r="S363" s="244"/>
      <c r="T363" s="244"/>
      <c r="U363" s="244"/>
      <c r="V363" s="247"/>
      <c r="W363" s="247"/>
    </row>
    <row r="364" spans="1:23" ht="12.75">
      <c r="A364" s="243"/>
      <c r="B364" s="243"/>
      <c r="C364" s="244"/>
      <c r="D364" s="243"/>
      <c r="E364" s="245"/>
      <c r="F364" s="246"/>
      <c r="G364" s="244"/>
      <c r="H364" s="244"/>
      <c r="I364" s="244"/>
      <c r="J364" s="244"/>
      <c r="K364" s="244"/>
      <c r="L364" s="244"/>
      <c r="M364" s="244"/>
      <c r="N364" s="244"/>
      <c r="O364" s="244"/>
      <c r="P364" s="244"/>
      <c r="Q364" s="244"/>
      <c r="R364" s="244"/>
      <c r="S364" s="244"/>
      <c r="T364" s="244"/>
      <c r="U364" s="244"/>
      <c r="V364" s="247"/>
      <c r="W364" s="247"/>
    </row>
    <row r="365" spans="1:23" ht="12.75">
      <c r="A365" s="243"/>
      <c r="B365" s="243"/>
      <c r="C365" s="244"/>
      <c r="D365" s="243"/>
      <c r="E365" s="245"/>
      <c r="F365" s="246"/>
      <c r="G365" s="244"/>
      <c r="H365" s="244"/>
      <c r="I365" s="244"/>
      <c r="J365" s="244"/>
      <c r="K365" s="244"/>
      <c r="L365" s="244"/>
      <c r="M365" s="244"/>
      <c r="N365" s="244"/>
      <c r="O365" s="244"/>
      <c r="P365" s="244"/>
      <c r="Q365" s="244"/>
      <c r="R365" s="244"/>
      <c r="S365" s="244"/>
      <c r="T365" s="244"/>
      <c r="U365" s="244"/>
      <c r="V365" s="247"/>
      <c r="W365" s="247"/>
    </row>
    <row r="366" spans="1:23" ht="12.75">
      <c r="A366" s="243"/>
      <c r="B366" s="243"/>
      <c r="C366" s="244"/>
      <c r="D366" s="243"/>
      <c r="E366" s="245"/>
      <c r="F366" s="246"/>
      <c r="G366" s="244"/>
      <c r="H366" s="244"/>
      <c r="I366" s="244"/>
      <c r="J366" s="244"/>
      <c r="K366" s="244"/>
      <c r="L366" s="244"/>
      <c r="M366" s="244"/>
      <c r="N366" s="244"/>
      <c r="O366" s="244"/>
      <c r="P366" s="244"/>
      <c r="Q366" s="244"/>
      <c r="R366" s="244"/>
      <c r="S366" s="244"/>
      <c r="T366" s="244"/>
      <c r="U366" s="244"/>
      <c r="V366" s="247"/>
      <c r="W366" s="247"/>
    </row>
    <row r="367" spans="1:23" ht="12.75">
      <c r="A367" s="243"/>
      <c r="B367" s="243"/>
      <c r="C367" s="244"/>
      <c r="D367" s="243"/>
      <c r="E367" s="245"/>
      <c r="F367" s="246"/>
      <c r="G367" s="244"/>
      <c r="H367" s="244"/>
      <c r="I367" s="244"/>
      <c r="J367" s="244"/>
      <c r="K367" s="244"/>
      <c r="L367" s="244"/>
      <c r="M367" s="244"/>
      <c r="N367" s="244"/>
      <c r="O367" s="244"/>
      <c r="P367" s="244"/>
      <c r="Q367" s="244"/>
      <c r="R367" s="244"/>
      <c r="S367" s="244"/>
      <c r="T367" s="244"/>
      <c r="U367" s="244"/>
      <c r="V367" s="247"/>
      <c r="W367" s="247"/>
    </row>
    <row r="368" spans="1:23" ht="12.75">
      <c r="A368" s="243"/>
      <c r="B368" s="243"/>
      <c r="C368" s="244"/>
      <c r="D368" s="243"/>
      <c r="E368" s="245"/>
      <c r="F368" s="246"/>
      <c r="G368" s="244"/>
      <c r="H368" s="244"/>
      <c r="I368" s="244"/>
      <c r="J368" s="244"/>
      <c r="K368" s="244"/>
      <c r="L368" s="244"/>
      <c r="M368" s="244"/>
      <c r="N368" s="244"/>
      <c r="O368" s="244"/>
      <c r="P368" s="244"/>
      <c r="Q368" s="244"/>
      <c r="R368" s="244"/>
      <c r="S368" s="244"/>
      <c r="T368" s="244"/>
      <c r="U368" s="244"/>
      <c r="V368" s="247"/>
      <c r="W368" s="247"/>
    </row>
    <row r="369" spans="1:23" ht="12.75">
      <c r="A369" s="243"/>
      <c r="B369" s="243"/>
      <c r="C369" s="244"/>
      <c r="D369" s="243"/>
      <c r="E369" s="245"/>
      <c r="F369" s="246"/>
      <c r="G369" s="244"/>
      <c r="H369" s="244"/>
      <c r="I369" s="244"/>
      <c r="J369" s="244"/>
      <c r="K369" s="244"/>
      <c r="L369" s="244"/>
      <c r="M369" s="244"/>
      <c r="N369" s="244"/>
      <c r="O369" s="244"/>
      <c r="P369" s="244"/>
      <c r="Q369" s="244"/>
      <c r="R369" s="244"/>
      <c r="S369" s="244"/>
      <c r="T369" s="244"/>
      <c r="U369" s="244"/>
      <c r="V369" s="247"/>
      <c r="W369" s="247"/>
    </row>
    <row r="370" spans="1:23" ht="12.75">
      <c r="A370" s="243"/>
      <c r="B370" s="243"/>
      <c r="C370" s="244"/>
      <c r="D370" s="243"/>
      <c r="E370" s="245"/>
      <c r="F370" s="246"/>
      <c r="G370" s="244"/>
      <c r="H370" s="244"/>
      <c r="I370" s="244"/>
      <c r="J370" s="244"/>
      <c r="K370" s="244"/>
      <c r="L370" s="244"/>
      <c r="M370" s="244"/>
      <c r="N370" s="244"/>
      <c r="O370" s="244"/>
      <c r="P370" s="244"/>
      <c r="Q370" s="244"/>
      <c r="R370" s="244"/>
      <c r="S370" s="244"/>
      <c r="T370" s="244"/>
      <c r="U370" s="244"/>
      <c r="V370" s="247"/>
      <c r="W370" s="247"/>
    </row>
    <row r="371" spans="1:23" ht="12.75">
      <c r="A371" s="243"/>
      <c r="B371" s="243"/>
      <c r="C371" s="244"/>
      <c r="D371" s="243"/>
      <c r="E371" s="245"/>
      <c r="F371" s="246"/>
      <c r="G371" s="244"/>
      <c r="H371" s="244"/>
      <c r="I371" s="244"/>
      <c r="J371" s="244"/>
      <c r="K371" s="244"/>
      <c r="L371" s="244"/>
      <c r="M371" s="244"/>
      <c r="N371" s="244"/>
      <c r="O371" s="244"/>
      <c r="P371" s="244"/>
      <c r="Q371" s="244"/>
      <c r="R371" s="244"/>
      <c r="S371" s="244"/>
      <c r="T371" s="244"/>
      <c r="U371" s="244"/>
      <c r="V371" s="247"/>
      <c r="W371" s="247"/>
    </row>
    <row r="372" spans="1:23" ht="12.75">
      <c r="A372" s="243"/>
      <c r="B372" s="243"/>
      <c r="C372" s="244"/>
      <c r="D372" s="243"/>
      <c r="E372" s="245"/>
      <c r="F372" s="246"/>
      <c r="G372" s="244"/>
      <c r="H372" s="244"/>
      <c r="I372" s="244"/>
      <c r="J372" s="244"/>
      <c r="K372" s="244"/>
      <c r="L372" s="244"/>
      <c r="M372" s="244"/>
      <c r="N372" s="244"/>
      <c r="O372" s="244"/>
      <c r="P372" s="244"/>
      <c r="Q372" s="244"/>
      <c r="R372" s="244"/>
      <c r="S372" s="244"/>
      <c r="T372" s="244"/>
      <c r="U372" s="244"/>
      <c r="V372" s="247"/>
      <c r="W372" s="247"/>
    </row>
    <row r="373" spans="1:23" ht="12.75">
      <c r="A373" s="243"/>
      <c r="B373" s="243"/>
      <c r="C373" s="244"/>
      <c r="D373" s="243"/>
      <c r="E373" s="245"/>
      <c r="F373" s="246"/>
      <c r="G373" s="244"/>
      <c r="H373" s="244"/>
      <c r="I373" s="244"/>
      <c r="J373" s="244"/>
      <c r="K373" s="244"/>
      <c r="L373" s="244"/>
      <c r="M373" s="244"/>
      <c r="N373" s="244"/>
      <c r="O373" s="244"/>
      <c r="P373" s="244"/>
      <c r="Q373" s="244"/>
      <c r="R373" s="244"/>
      <c r="S373" s="244"/>
      <c r="T373" s="244"/>
      <c r="U373" s="244"/>
      <c r="V373" s="247"/>
      <c r="W373" s="247"/>
    </row>
    <row r="374" spans="1:23" ht="12.75">
      <c r="A374" s="243"/>
      <c r="B374" s="243"/>
      <c r="C374" s="244"/>
      <c r="D374" s="243"/>
      <c r="E374" s="245"/>
      <c r="F374" s="246"/>
      <c r="G374" s="244"/>
      <c r="H374" s="244"/>
      <c r="I374" s="244"/>
      <c r="J374" s="244"/>
      <c r="K374" s="244"/>
      <c r="L374" s="244"/>
      <c r="M374" s="244"/>
      <c r="N374" s="244"/>
      <c r="O374" s="244"/>
      <c r="P374" s="244"/>
      <c r="Q374" s="244"/>
      <c r="R374" s="244"/>
      <c r="S374" s="244"/>
      <c r="T374" s="244"/>
      <c r="U374" s="244"/>
      <c r="V374" s="247"/>
      <c r="W374" s="247"/>
    </row>
    <row r="375" spans="1:23" ht="12.75">
      <c r="A375" s="243"/>
      <c r="B375" s="243"/>
      <c r="C375" s="244"/>
      <c r="D375" s="243"/>
      <c r="E375" s="245"/>
      <c r="F375" s="246"/>
      <c r="G375" s="244"/>
      <c r="H375" s="244"/>
      <c r="I375" s="244"/>
      <c r="J375" s="244"/>
      <c r="K375" s="244"/>
      <c r="L375" s="244"/>
      <c r="M375" s="244"/>
      <c r="N375" s="244"/>
      <c r="O375" s="244"/>
      <c r="P375" s="244"/>
      <c r="Q375" s="244"/>
      <c r="R375" s="244"/>
      <c r="S375" s="244"/>
      <c r="T375" s="244"/>
      <c r="U375" s="244"/>
      <c r="V375" s="247"/>
      <c r="W375" s="247"/>
    </row>
    <row r="376" spans="1:23" ht="12.75">
      <c r="A376" s="243"/>
      <c r="B376" s="243"/>
      <c r="C376" s="244"/>
      <c r="D376" s="243"/>
      <c r="E376" s="245"/>
      <c r="F376" s="246"/>
      <c r="G376" s="244"/>
      <c r="H376" s="244"/>
      <c r="I376" s="244"/>
      <c r="J376" s="244"/>
      <c r="K376" s="244"/>
      <c r="L376" s="244"/>
      <c r="M376" s="244"/>
      <c r="N376" s="244"/>
      <c r="O376" s="244"/>
      <c r="P376" s="244"/>
      <c r="Q376" s="244"/>
      <c r="R376" s="244"/>
      <c r="S376" s="244"/>
      <c r="T376" s="244"/>
      <c r="U376" s="244"/>
      <c r="V376" s="247"/>
      <c r="W376" s="247"/>
    </row>
    <row r="377" spans="1:23" ht="12.75">
      <c r="A377" s="243"/>
      <c r="B377" s="243"/>
      <c r="C377" s="244"/>
      <c r="D377" s="243"/>
      <c r="E377" s="245"/>
      <c r="F377" s="246"/>
      <c r="G377" s="244"/>
      <c r="H377" s="244"/>
      <c r="I377" s="244"/>
      <c r="J377" s="244"/>
      <c r="K377" s="244"/>
      <c r="L377" s="244"/>
      <c r="M377" s="244"/>
      <c r="N377" s="244"/>
      <c r="O377" s="244"/>
      <c r="P377" s="244"/>
      <c r="Q377" s="244"/>
      <c r="R377" s="244"/>
      <c r="S377" s="244"/>
      <c r="T377" s="244"/>
      <c r="U377" s="244"/>
      <c r="V377" s="247"/>
      <c r="W377" s="247"/>
    </row>
    <row r="378" spans="1:23" ht="12.75">
      <c r="A378" s="243"/>
      <c r="B378" s="243"/>
      <c r="C378" s="244"/>
      <c r="D378" s="243"/>
      <c r="E378" s="245"/>
      <c r="F378" s="246"/>
      <c r="G378" s="244"/>
      <c r="H378" s="244"/>
      <c r="I378" s="244"/>
      <c r="J378" s="244"/>
      <c r="K378" s="244"/>
      <c r="L378" s="244"/>
      <c r="M378" s="244"/>
      <c r="N378" s="244"/>
      <c r="O378" s="244"/>
      <c r="P378" s="244"/>
      <c r="Q378" s="244"/>
      <c r="R378" s="244"/>
      <c r="S378" s="244"/>
      <c r="T378" s="244"/>
      <c r="U378" s="244"/>
      <c r="V378" s="247"/>
      <c r="W378" s="247"/>
    </row>
    <row r="379" spans="1:23" ht="12.75">
      <c r="A379" s="243"/>
      <c r="B379" s="243"/>
      <c r="C379" s="244"/>
      <c r="D379" s="243"/>
      <c r="E379" s="245"/>
      <c r="F379" s="246"/>
      <c r="G379" s="244"/>
      <c r="H379" s="244"/>
      <c r="I379" s="244"/>
      <c r="J379" s="244"/>
      <c r="K379" s="244"/>
      <c r="L379" s="244"/>
      <c r="M379" s="244"/>
      <c r="N379" s="244"/>
      <c r="O379" s="244"/>
      <c r="P379" s="244"/>
      <c r="Q379" s="244"/>
      <c r="R379" s="244"/>
      <c r="S379" s="244"/>
      <c r="T379" s="244"/>
      <c r="U379" s="244"/>
      <c r="V379" s="247"/>
      <c r="W379" s="247"/>
    </row>
    <row r="380" spans="1:23" ht="12.75">
      <c r="A380" s="243"/>
      <c r="B380" s="243"/>
      <c r="C380" s="244"/>
      <c r="D380" s="243"/>
      <c r="E380" s="245"/>
      <c r="F380" s="246"/>
      <c r="G380" s="244"/>
      <c r="H380" s="244"/>
      <c r="I380" s="244"/>
      <c r="J380" s="244"/>
      <c r="K380" s="244"/>
      <c r="L380" s="244"/>
      <c r="M380" s="244"/>
      <c r="N380" s="244"/>
      <c r="O380" s="244"/>
      <c r="P380" s="244"/>
      <c r="Q380" s="244"/>
      <c r="R380" s="244"/>
      <c r="S380" s="244"/>
      <c r="T380" s="244"/>
      <c r="U380" s="244"/>
      <c r="V380" s="247"/>
      <c r="W380" s="247"/>
    </row>
    <row r="381" spans="1:23" ht="12.75">
      <c r="A381" s="243"/>
      <c r="B381" s="243"/>
      <c r="C381" s="244"/>
      <c r="D381" s="243"/>
      <c r="E381" s="245"/>
      <c r="F381" s="246"/>
      <c r="G381" s="244"/>
      <c r="H381" s="244"/>
      <c r="I381" s="244"/>
      <c r="J381" s="244"/>
      <c r="K381" s="244"/>
      <c r="L381" s="244"/>
      <c r="M381" s="244"/>
      <c r="N381" s="244"/>
      <c r="O381" s="244"/>
      <c r="P381" s="244"/>
      <c r="Q381" s="244"/>
      <c r="R381" s="244"/>
      <c r="S381" s="244"/>
      <c r="T381" s="244"/>
      <c r="U381" s="244"/>
      <c r="V381" s="247"/>
      <c r="W381" s="247"/>
    </row>
    <row r="382" spans="1:23" ht="12.75">
      <c r="A382" s="243"/>
      <c r="B382" s="243"/>
      <c r="C382" s="244"/>
      <c r="D382" s="243"/>
      <c r="E382" s="245"/>
      <c r="F382" s="246"/>
      <c r="G382" s="244"/>
      <c r="H382" s="244"/>
      <c r="I382" s="244"/>
      <c r="J382" s="244"/>
      <c r="K382" s="244"/>
      <c r="L382" s="244"/>
      <c r="M382" s="244"/>
      <c r="N382" s="244"/>
      <c r="O382" s="244"/>
      <c r="P382" s="244"/>
      <c r="Q382" s="244"/>
      <c r="R382" s="244"/>
      <c r="S382" s="244"/>
      <c r="T382" s="244"/>
      <c r="U382" s="244"/>
      <c r="V382" s="247"/>
      <c r="W382" s="247"/>
    </row>
    <row r="383" spans="1:23" ht="12.75">
      <c r="A383" s="243"/>
      <c r="B383" s="243"/>
      <c r="C383" s="244"/>
      <c r="D383" s="243"/>
      <c r="E383" s="245"/>
      <c r="F383" s="246"/>
      <c r="G383" s="244"/>
      <c r="H383" s="244"/>
      <c r="I383" s="244"/>
      <c r="J383" s="244"/>
      <c r="K383" s="244"/>
      <c r="L383" s="244"/>
      <c r="M383" s="244"/>
      <c r="N383" s="244"/>
      <c r="O383" s="244"/>
      <c r="P383" s="244"/>
      <c r="Q383" s="244"/>
      <c r="R383" s="244"/>
      <c r="S383" s="244"/>
      <c r="T383" s="244"/>
      <c r="U383" s="244"/>
      <c r="V383" s="247"/>
      <c r="W383" s="247"/>
    </row>
    <row r="384" spans="1:23" ht="12.75">
      <c r="A384" s="243"/>
      <c r="B384" s="243"/>
      <c r="C384" s="244"/>
      <c r="D384" s="243"/>
      <c r="E384" s="245"/>
      <c r="F384" s="246"/>
      <c r="G384" s="244"/>
      <c r="H384" s="244"/>
      <c r="I384" s="244"/>
      <c r="J384" s="244"/>
      <c r="K384" s="244"/>
      <c r="L384" s="244"/>
      <c r="M384" s="244"/>
      <c r="N384" s="244"/>
      <c r="O384" s="244"/>
      <c r="P384" s="244"/>
      <c r="Q384" s="244"/>
      <c r="R384" s="244"/>
      <c r="S384" s="244"/>
      <c r="T384" s="244"/>
      <c r="U384" s="244"/>
      <c r="V384" s="247"/>
      <c r="W384" s="247"/>
    </row>
    <row r="385" spans="1:23" ht="12.75">
      <c r="A385" s="243"/>
      <c r="B385" s="243"/>
      <c r="C385" s="244"/>
      <c r="D385" s="243"/>
      <c r="E385" s="245"/>
      <c r="F385" s="246"/>
      <c r="G385" s="244"/>
      <c r="H385" s="244"/>
      <c r="I385" s="244"/>
      <c r="J385" s="244"/>
      <c r="K385" s="244"/>
      <c r="L385" s="244"/>
      <c r="M385" s="244"/>
      <c r="N385" s="244"/>
      <c r="O385" s="244"/>
      <c r="P385" s="244"/>
      <c r="Q385" s="244"/>
      <c r="R385" s="244"/>
      <c r="S385" s="244"/>
      <c r="T385" s="244"/>
      <c r="U385" s="244"/>
      <c r="V385" s="247"/>
      <c r="W385" s="247"/>
    </row>
    <row r="386" spans="1:23" ht="12.75">
      <c r="A386" s="243"/>
      <c r="B386" s="243"/>
      <c r="C386" s="244"/>
      <c r="D386" s="243"/>
      <c r="E386" s="245"/>
      <c r="F386" s="246"/>
      <c r="G386" s="244"/>
      <c r="H386" s="244"/>
      <c r="I386" s="244"/>
      <c r="J386" s="244"/>
      <c r="K386" s="244"/>
      <c r="L386" s="244"/>
      <c r="M386" s="244"/>
      <c r="N386" s="244"/>
      <c r="O386" s="244"/>
      <c r="P386" s="244"/>
      <c r="Q386" s="244"/>
      <c r="R386" s="244"/>
      <c r="S386" s="244"/>
      <c r="T386" s="244"/>
      <c r="U386" s="244"/>
      <c r="V386" s="247"/>
      <c r="W386" s="247"/>
    </row>
    <row r="387" spans="1:23" ht="12.75">
      <c r="A387" s="243"/>
      <c r="B387" s="243"/>
      <c r="C387" s="244"/>
      <c r="D387" s="243"/>
      <c r="E387" s="245"/>
      <c r="F387" s="246"/>
      <c r="G387" s="244"/>
      <c r="H387" s="244"/>
      <c r="I387" s="244"/>
      <c r="J387" s="244"/>
      <c r="K387" s="244"/>
      <c r="L387" s="244"/>
      <c r="M387" s="244"/>
      <c r="N387" s="244"/>
      <c r="O387" s="244"/>
      <c r="P387" s="244"/>
      <c r="Q387" s="244"/>
      <c r="R387" s="244"/>
      <c r="S387" s="244"/>
      <c r="T387" s="244"/>
      <c r="U387" s="244"/>
      <c r="V387" s="247"/>
      <c r="W387" s="247"/>
    </row>
    <row r="388" spans="1:23" ht="12.75">
      <c r="A388" s="243"/>
      <c r="B388" s="243"/>
      <c r="C388" s="244"/>
      <c r="D388" s="243"/>
      <c r="E388" s="245"/>
      <c r="F388" s="246"/>
      <c r="G388" s="244"/>
      <c r="H388" s="244"/>
      <c r="I388" s="244"/>
      <c r="J388" s="244"/>
      <c r="K388" s="244"/>
      <c r="L388" s="244"/>
      <c r="M388" s="244"/>
      <c r="N388" s="244"/>
      <c r="O388" s="244"/>
      <c r="P388" s="244"/>
      <c r="Q388" s="244"/>
      <c r="R388" s="244"/>
      <c r="S388" s="244"/>
      <c r="T388" s="244"/>
      <c r="U388" s="244"/>
      <c r="V388" s="247"/>
      <c r="W388" s="247"/>
    </row>
    <row r="389" spans="1:23" ht="12.75">
      <c r="A389" s="243"/>
      <c r="B389" s="243"/>
      <c r="C389" s="244"/>
      <c r="D389" s="243"/>
      <c r="E389" s="245"/>
      <c r="F389" s="246"/>
      <c r="G389" s="244"/>
      <c r="H389" s="244"/>
      <c r="I389" s="244"/>
      <c r="J389" s="244"/>
      <c r="K389" s="244"/>
      <c r="L389" s="244"/>
      <c r="M389" s="244"/>
      <c r="N389" s="244"/>
      <c r="O389" s="244"/>
      <c r="P389" s="244"/>
      <c r="Q389" s="244"/>
      <c r="R389" s="244"/>
      <c r="S389" s="244"/>
      <c r="T389" s="244"/>
      <c r="U389" s="244"/>
      <c r="V389" s="247"/>
      <c r="W389" s="247"/>
    </row>
    <row r="390" spans="1:23" ht="12.75">
      <c r="A390" s="243"/>
      <c r="B390" s="243"/>
      <c r="C390" s="244"/>
      <c r="D390" s="243"/>
      <c r="E390" s="245"/>
      <c r="F390" s="246"/>
      <c r="G390" s="244"/>
      <c r="H390" s="244"/>
      <c r="I390" s="244"/>
      <c r="J390" s="244"/>
      <c r="K390" s="244"/>
      <c r="L390" s="244"/>
      <c r="M390" s="244"/>
      <c r="N390" s="244"/>
      <c r="O390" s="244"/>
      <c r="P390" s="244"/>
      <c r="Q390" s="244"/>
      <c r="R390" s="244"/>
      <c r="S390" s="244"/>
      <c r="T390" s="244"/>
      <c r="U390" s="244"/>
      <c r="V390" s="247"/>
      <c r="W390" s="247"/>
    </row>
    <row r="391" spans="1:23" ht="12.75">
      <c r="A391" s="243"/>
      <c r="B391" s="243"/>
      <c r="C391" s="244"/>
      <c r="D391" s="243"/>
      <c r="E391" s="245"/>
      <c r="F391" s="246"/>
      <c r="G391" s="244"/>
      <c r="H391" s="244"/>
      <c r="I391" s="244"/>
      <c r="J391" s="244"/>
      <c r="K391" s="244"/>
      <c r="L391" s="244"/>
      <c r="M391" s="244"/>
      <c r="N391" s="244"/>
      <c r="O391" s="244"/>
      <c r="P391" s="244"/>
      <c r="Q391" s="244"/>
      <c r="R391" s="244"/>
      <c r="S391" s="244"/>
      <c r="T391" s="244"/>
      <c r="U391" s="244"/>
      <c r="V391" s="247"/>
      <c r="W391" s="247"/>
    </row>
    <row r="392" spans="1:23" ht="12.75">
      <c r="A392" s="243"/>
      <c r="B392" s="243"/>
      <c r="C392" s="244"/>
      <c r="D392" s="243"/>
      <c r="E392" s="245"/>
      <c r="F392" s="246"/>
      <c r="G392" s="244"/>
      <c r="H392" s="244"/>
      <c r="I392" s="244"/>
      <c r="J392" s="244"/>
      <c r="K392" s="244"/>
      <c r="L392" s="244"/>
      <c r="M392" s="244"/>
      <c r="N392" s="244"/>
      <c r="O392" s="244"/>
      <c r="P392" s="244"/>
      <c r="Q392" s="244"/>
      <c r="R392" s="244"/>
      <c r="S392" s="244"/>
      <c r="T392" s="244"/>
      <c r="U392" s="244"/>
      <c r="V392" s="247"/>
      <c r="W392" s="247"/>
    </row>
    <row r="393" spans="1:23" ht="12.75">
      <c r="A393" s="243"/>
      <c r="B393" s="243"/>
      <c r="C393" s="244"/>
      <c r="D393" s="243"/>
      <c r="E393" s="245"/>
      <c r="F393" s="246"/>
      <c r="G393" s="244"/>
      <c r="H393" s="244"/>
      <c r="I393" s="244"/>
      <c r="J393" s="244"/>
      <c r="K393" s="244"/>
      <c r="L393" s="244"/>
      <c r="M393" s="244"/>
      <c r="N393" s="244"/>
      <c r="O393" s="244"/>
      <c r="P393" s="244"/>
      <c r="Q393" s="244"/>
      <c r="R393" s="244"/>
      <c r="S393" s="244"/>
      <c r="T393" s="244"/>
      <c r="U393" s="244"/>
      <c r="V393" s="247"/>
      <c r="W393" s="247"/>
    </row>
    <row r="394" spans="1:23" ht="12.75">
      <c r="A394" s="243"/>
      <c r="B394" s="243"/>
      <c r="C394" s="244"/>
      <c r="D394" s="243"/>
      <c r="E394" s="245"/>
      <c r="F394" s="246"/>
      <c r="G394" s="244"/>
      <c r="H394" s="244"/>
      <c r="I394" s="244"/>
      <c r="J394" s="244"/>
      <c r="K394" s="244"/>
      <c r="L394" s="244"/>
      <c r="M394" s="244"/>
      <c r="N394" s="244"/>
      <c r="O394" s="244"/>
      <c r="P394" s="244"/>
      <c r="Q394" s="244"/>
      <c r="R394" s="244"/>
      <c r="S394" s="244"/>
      <c r="T394" s="244"/>
      <c r="U394" s="244"/>
      <c r="V394" s="247"/>
      <c r="W394" s="247"/>
    </row>
    <row r="395" spans="1:23" ht="12.75">
      <c r="A395" s="243"/>
      <c r="B395" s="243"/>
      <c r="C395" s="244"/>
      <c r="D395" s="243"/>
      <c r="E395" s="245"/>
      <c r="F395" s="246"/>
      <c r="G395" s="244"/>
      <c r="H395" s="244"/>
      <c r="I395" s="244"/>
      <c r="J395" s="244"/>
      <c r="K395" s="244"/>
      <c r="L395" s="244"/>
      <c r="M395" s="244"/>
      <c r="N395" s="244"/>
      <c r="O395" s="244"/>
      <c r="P395" s="244"/>
      <c r="Q395" s="244"/>
      <c r="R395" s="244"/>
      <c r="S395" s="244"/>
      <c r="T395" s="244"/>
      <c r="U395" s="244"/>
      <c r="V395" s="247"/>
      <c r="W395" s="247"/>
    </row>
    <row r="396" spans="1:23" ht="12.75">
      <c r="A396" s="243"/>
      <c r="B396" s="243"/>
      <c r="C396" s="244"/>
      <c r="D396" s="243"/>
      <c r="E396" s="245"/>
      <c r="F396" s="246"/>
      <c r="G396" s="244"/>
      <c r="H396" s="244"/>
      <c r="I396" s="244"/>
      <c r="J396" s="244"/>
      <c r="K396" s="244"/>
      <c r="L396" s="244"/>
      <c r="M396" s="244"/>
      <c r="N396" s="244"/>
      <c r="O396" s="244"/>
      <c r="P396" s="244"/>
      <c r="Q396" s="244"/>
      <c r="R396" s="244"/>
      <c r="S396" s="244"/>
      <c r="T396" s="244"/>
      <c r="U396" s="244"/>
      <c r="V396" s="247"/>
      <c r="W396" s="247"/>
    </row>
    <row r="397" spans="1:23" ht="12.75">
      <c r="A397" s="243"/>
      <c r="B397" s="243"/>
      <c r="C397" s="244"/>
      <c r="D397" s="243"/>
      <c r="E397" s="245"/>
      <c r="F397" s="246"/>
      <c r="G397" s="244"/>
      <c r="H397" s="244"/>
      <c r="I397" s="244"/>
      <c r="J397" s="244"/>
      <c r="K397" s="244"/>
      <c r="L397" s="244"/>
      <c r="M397" s="244"/>
      <c r="N397" s="244"/>
      <c r="O397" s="244"/>
      <c r="P397" s="244"/>
      <c r="Q397" s="244"/>
      <c r="R397" s="244"/>
      <c r="S397" s="244"/>
      <c r="T397" s="244"/>
      <c r="U397" s="244"/>
      <c r="V397" s="247"/>
      <c r="W397" s="247"/>
    </row>
    <row r="398" spans="1:23" ht="12.75">
      <c r="A398" s="243"/>
      <c r="B398" s="243"/>
      <c r="C398" s="244"/>
      <c r="D398" s="243"/>
      <c r="E398" s="245"/>
      <c r="F398" s="246"/>
      <c r="G398" s="244"/>
      <c r="H398" s="244"/>
      <c r="I398" s="244"/>
      <c r="J398" s="244"/>
      <c r="K398" s="244"/>
      <c r="L398" s="244"/>
      <c r="M398" s="244"/>
      <c r="N398" s="244"/>
      <c r="O398" s="244"/>
      <c r="P398" s="244"/>
      <c r="Q398" s="244"/>
      <c r="R398" s="244"/>
      <c r="S398" s="244"/>
      <c r="T398" s="244"/>
      <c r="U398" s="244"/>
      <c r="V398" s="247"/>
      <c r="W398" s="247"/>
    </row>
    <row r="399" spans="1:23" ht="12.75">
      <c r="A399" s="243"/>
      <c r="B399" s="243"/>
      <c r="C399" s="244"/>
      <c r="D399" s="243"/>
      <c r="E399" s="245"/>
      <c r="F399" s="246"/>
      <c r="G399" s="244"/>
      <c r="H399" s="244"/>
      <c r="I399" s="244"/>
      <c r="J399" s="244"/>
      <c r="K399" s="244"/>
      <c r="L399" s="244"/>
      <c r="M399" s="244"/>
      <c r="N399" s="244"/>
      <c r="O399" s="244"/>
      <c r="P399" s="244"/>
      <c r="Q399" s="244"/>
      <c r="R399" s="244"/>
      <c r="S399" s="244"/>
      <c r="T399" s="244"/>
      <c r="U399" s="244"/>
      <c r="V399" s="247"/>
      <c r="W399" s="247"/>
    </row>
    <row r="400" spans="1:23" ht="12.75">
      <c r="A400" s="243"/>
      <c r="B400" s="243"/>
      <c r="C400" s="244"/>
      <c r="D400" s="243"/>
      <c r="E400" s="245"/>
      <c r="F400" s="246"/>
      <c r="G400" s="244"/>
      <c r="H400" s="244"/>
      <c r="I400" s="244"/>
      <c r="J400" s="244"/>
      <c r="K400" s="244"/>
      <c r="L400" s="244"/>
      <c r="M400" s="244"/>
      <c r="N400" s="244"/>
      <c r="O400" s="244"/>
      <c r="P400" s="244"/>
      <c r="Q400" s="244"/>
      <c r="R400" s="244"/>
      <c r="S400" s="244"/>
      <c r="T400" s="244"/>
      <c r="U400" s="244"/>
      <c r="V400" s="247"/>
      <c r="W400" s="247"/>
    </row>
    <row r="401" spans="1:23" ht="12.75">
      <c r="A401" s="243"/>
      <c r="B401" s="243"/>
      <c r="C401" s="244"/>
      <c r="D401" s="243"/>
      <c r="E401" s="245"/>
      <c r="F401" s="246"/>
      <c r="G401" s="244"/>
      <c r="H401" s="244"/>
      <c r="I401" s="244"/>
      <c r="J401" s="244"/>
      <c r="K401" s="244"/>
      <c r="L401" s="244"/>
      <c r="M401" s="244"/>
      <c r="N401" s="244"/>
      <c r="O401" s="244"/>
      <c r="P401" s="244"/>
      <c r="Q401" s="244"/>
      <c r="R401" s="244"/>
      <c r="S401" s="244"/>
      <c r="T401" s="244"/>
      <c r="U401" s="244"/>
      <c r="V401" s="247"/>
      <c r="W401" s="247"/>
    </row>
    <row r="402" spans="1:23" ht="12.75">
      <c r="A402" s="243"/>
      <c r="B402" s="243"/>
      <c r="C402" s="244"/>
      <c r="D402" s="243"/>
      <c r="E402" s="245"/>
      <c r="F402" s="246"/>
      <c r="G402" s="244"/>
      <c r="H402" s="244"/>
      <c r="I402" s="244"/>
      <c r="J402" s="244"/>
      <c r="K402" s="244"/>
      <c r="L402" s="244"/>
      <c r="M402" s="244"/>
      <c r="N402" s="244"/>
      <c r="O402" s="244"/>
      <c r="P402" s="244"/>
      <c r="Q402" s="244"/>
      <c r="R402" s="244"/>
      <c r="S402" s="244"/>
      <c r="T402" s="244"/>
      <c r="U402" s="244"/>
      <c r="V402" s="247"/>
      <c r="W402" s="247"/>
    </row>
    <row r="403" spans="1:23" ht="12.75">
      <c r="A403" s="243"/>
      <c r="B403" s="243"/>
      <c r="C403" s="244"/>
      <c r="D403" s="243"/>
      <c r="E403" s="245"/>
      <c r="F403" s="246"/>
      <c r="G403" s="244"/>
      <c r="H403" s="244"/>
      <c r="I403" s="244"/>
      <c r="J403" s="244"/>
      <c r="K403" s="244"/>
      <c r="L403" s="244"/>
      <c r="M403" s="244"/>
      <c r="N403" s="244"/>
      <c r="O403" s="244"/>
      <c r="P403" s="244"/>
      <c r="Q403" s="244"/>
      <c r="R403" s="244"/>
      <c r="S403" s="244"/>
      <c r="T403" s="244"/>
      <c r="U403" s="244"/>
      <c r="V403" s="247"/>
      <c r="W403" s="247"/>
    </row>
    <row r="404" spans="1:23" ht="12.75">
      <c r="A404" s="243"/>
      <c r="B404" s="243"/>
      <c r="C404" s="244"/>
      <c r="D404" s="243"/>
      <c r="E404" s="245"/>
      <c r="F404" s="246"/>
      <c r="G404" s="244"/>
      <c r="H404" s="244"/>
      <c r="I404" s="244"/>
      <c r="J404" s="244"/>
      <c r="K404" s="244"/>
      <c r="L404" s="244"/>
      <c r="M404" s="244"/>
      <c r="N404" s="244"/>
      <c r="O404" s="244"/>
      <c r="P404" s="244"/>
      <c r="Q404" s="244"/>
      <c r="R404" s="244"/>
      <c r="S404" s="244"/>
      <c r="T404" s="244"/>
      <c r="U404" s="244"/>
      <c r="V404" s="247"/>
      <c r="W404" s="247"/>
    </row>
    <row r="405" spans="1:23" ht="12.75">
      <c r="A405" s="243"/>
      <c r="B405" s="243"/>
      <c r="C405" s="244"/>
      <c r="D405" s="243"/>
      <c r="E405" s="245"/>
      <c r="F405" s="246"/>
      <c r="G405" s="244"/>
      <c r="H405" s="244"/>
      <c r="I405" s="244"/>
      <c r="J405" s="244"/>
      <c r="K405" s="244"/>
      <c r="L405" s="244"/>
      <c r="M405" s="244"/>
      <c r="N405" s="244"/>
      <c r="O405" s="244"/>
      <c r="P405" s="244"/>
      <c r="Q405" s="244"/>
      <c r="R405" s="244"/>
      <c r="S405" s="244"/>
      <c r="T405" s="244"/>
      <c r="U405" s="244"/>
      <c r="V405" s="247"/>
      <c r="W405" s="247"/>
    </row>
    <row r="406" spans="1:23" ht="12.75">
      <c r="A406" s="243"/>
      <c r="B406" s="243"/>
      <c r="C406" s="244"/>
      <c r="D406" s="243"/>
      <c r="E406" s="245"/>
      <c r="F406" s="246"/>
      <c r="G406" s="244"/>
      <c r="H406" s="244"/>
      <c r="I406" s="244"/>
      <c r="J406" s="244"/>
      <c r="K406" s="244"/>
      <c r="L406" s="244"/>
      <c r="M406" s="244"/>
      <c r="N406" s="244"/>
      <c r="O406" s="244"/>
      <c r="P406" s="244"/>
      <c r="Q406" s="244"/>
      <c r="R406" s="244"/>
      <c r="S406" s="244"/>
      <c r="T406" s="244"/>
      <c r="U406" s="244"/>
      <c r="V406" s="247"/>
      <c r="W406" s="247"/>
    </row>
    <row r="407" spans="1:23" ht="12.75">
      <c r="A407" s="243"/>
      <c r="B407" s="243"/>
      <c r="C407" s="244"/>
      <c r="D407" s="243"/>
      <c r="E407" s="245"/>
      <c r="F407" s="246"/>
      <c r="G407" s="244"/>
      <c r="H407" s="244"/>
      <c r="I407" s="244"/>
      <c r="J407" s="244"/>
      <c r="K407" s="244"/>
      <c r="L407" s="244"/>
      <c r="M407" s="244"/>
      <c r="N407" s="244"/>
      <c r="O407" s="244"/>
      <c r="P407" s="244"/>
      <c r="Q407" s="244"/>
      <c r="R407" s="244"/>
      <c r="S407" s="244"/>
      <c r="T407" s="244"/>
      <c r="U407" s="244"/>
      <c r="V407" s="247"/>
      <c r="W407" s="247"/>
    </row>
    <row r="408" spans="1:23" ht="12.75">
      <c r="A408" s="243"/>
      <c r="B408" s="243"/>
      <c r="C408" s="244"/>
      <c r="D408" s="243"/>
      <c r="E408" s="245"/>
      <c r="F408" s="246"/>
      <c r="G408" s="244"/>
      <c r="H408" s="244"/>
      <c r="I408" s="244"/>
      <c r="J408" s="244"/>
      <c r="K408" s="244"/>
      <c r="L408" s="244"/>
      <c r="M408" s="244"/>
      <c r="N408" s="244"/>
      <c r="O408" s="244"/>
      <c r="P408" s="244"/>
      <c r="Q408" s="244"/>
      <c r="R408" s="244"/>
      <c r="S408" s="244"/>
      <c r="T408" s="244"/>
      <c r="U408" s="244"/>
      <c r="V408" s="247"/>
      <c r="W408" s="247"/>
    </row>
    <row r="409" spans="1:23" ht="12.75">
      <c r="A409" s="243"/>
      <c r="B409" s="243"/>
      <c r="C409" s="244"/>
      <c r="D409" s="243"/>
      <c r="E409" s="245"/>
      <c r="F409" s="246"/>
      <c r="G409" s="244"/>
      <c r="H409" s="244"/>
      <c r="I409" s="244"/>
      <c r="J409" s="244"/>
      <c r="K409" s="244"/>
      <c r="L409" s="244"/>
      <c r="M409" s="244"/>
      <c r="N409" s="244"/>
      <c r="O409" s="244"/>
      <c r="P409" s="244"/>
      <c r="Q409" s="244"/>
      <c r="R409" s="244"/>
      <c r="S409" s="244"/>
      <c r="T409" s="244"/>
      <c r="U409" s="244"/>
      <c r="V409" s="247"/>
      <c r="W409" s="247"/>
    </row>
    <row r="410" spans="1:23" ht="12.75">
      <c r="A410" s="243"/>
      <c r="B410" s="243"/>
      <c r="C410" s="244"/>
      <c r="D410" s="243"/>
      <c r="E410" s="245"/>
      <c r="F410" s="246"/>
      <c r="G410" s="244"/>
      <c r="H410" s="244"/>
      <c r="I410" s="244"/>
      <c r="J410" s="244"/>
      <c r="K410" s="244"/>
      <c r="L410" s="244"/>
      <c r="M410" s="244"/>
      <c r="N410" s="244"/>
      <c r="O410" s="244"/>
      <c r="P410" s="244"/>
      <c r="Q410" s="244"/>
      <c r="R410" s="244"/>
      <c r="S410" s="244"/>
      <c r="T410" s="244"/>
      <c r="U410" s="244"/>
      <c r="V410" s="247"/>
      <c r="W410" s="247"/>
    </row>
    <row r="411" spans="1:23" ht="12.75">
      <c r="A411" s="243"/>
      <c r="B411" s="243"/>
      <c r="C411" s="244"/>
      <c r="D411" s="243"/>
      <c r="E411" s="245"/>
      <c r="F411" s="246"/>
      <c r="G411" s="244"/>
      <c r="H411" s="244"/>
      <c r="I411" s="244"/>
      <c r="J411" s="244"/>
      <c r="K411" s="244"/>
      <c r="L411" s="244"/>
      <c r="M411" s="244"/>
      <c r="N411" s="244"/>
      <c r="O411" s="244"/>
      <c r="P411" s="244"/>
      <c r="Q411" s="244"/>
      <c r="R411" s="244"/>
      <c r="S411" s="244"/>
      <c r="T411" s="244"/>
      <c r="U411" s="244"/>
      <c r="V411" s="247"/>
      <c r="W411" s="247"/>
    </row>
    <row r="412" spans="1:23" ht="12.75">
      <c r="A412" s="243"/>
      <c r="B412" s="243"/>
      <c r="C412" s="244"/>
      <c r="D412" s="243"/>
      <c r="E412" s="245"/>
      <c r="F412" s="246"/>
      <c r="G412" s="244"/>
      <c r="H412" s="244"/>
      <c r="I412" s="244"/>
      <c r="J412" s="244"/>
      <c r="K412" s="244"/>
      <c r="L412" s="244"/>
      <c r="M412" s="244"/>
      <c r="N412" s="244"/>
      <c r="O412" s="244"/>
      <c r="P412" s="244"/>
      <c r="Q412" s="244"/>
      <c r="R412" s="244"/>
      <c r="S412" s="244"/>
      <c r="T412" s="244"/>
      <c r="U412" s="244"/>
      <c r="V412" s="247"/>
      <c r="W412" s="247"/>
    </row>
    <row r="413" spans="1:23" ht="12.75">
      <c r="A413" s="243"/>
      <c r="B413" s="243"/>
      <c r="C413" s="244"/>
      <c r="D413" s="243"/>
      <c r="E413" s="245"/>
      <c r="F413" s="246"/>
      <c r="G413" s="244"/>
      <c r="H413" s="244"/>
      <c r="I413" s="244"/>
      <c r="J413" s="244"/>
      <c r="K413" s="244"/>
      <c r="L413" s="244"/>
      <c r="M413" s="244"/>
      <c r="N413" s="244"/>
      <c r="O413" s="244"/>
      <c r="P413" s="244"/>
      <c r="Q413" s="244"/>
      <c r="R413" s="244"/>
      <c r="S413" s="244"/>
      <c r="T413" s="244"/>
      <c r="U413" s="244"/>
      <c r="V413" s="247"/>
      <c r="W413" s="247"/>
    </row>
    <row r="414" spans="1:23" ht="12.75">
      <c r="A414" s="243"/>
      <c r="B414" s="243"/>
      <c r="C414" s="244"/>
      <c r="D414" s="243"/>
      <c r="E414" s="245"/>
      <c r="F414" s="246"/>
      <c r="G414" s="244"/>
      <c r="H414" s="244"/>
      <c r="I414" s="244"/>
      <c r="J414" s="244"/>
      <c r="K414" s="244"/>
      <c r="L414" s="244"/>
      <c r="M414" s="244"/>
      <c r="N414" s="244"/>
      <c r="O414" s="244"/>
      <c r="P414" s="244"/>
      <c r="Q414" s="244"/>
      <c r="R414" s="244"/>
      <c r="S414" s="244"/>
      <c r="T414" s="244"/>
      <c r="U414" s="244"/>
      <c r="V414" s="247"/>
      <c r="W414" s="247"/>
    </row>
    <row r="415" spans="1:23" ht="12.75">
      <c r="A415" s="243"/>
      <c r="B415" s="243"/>
      <c r="C415" s="244"/>
      <c r="D415" s="243"/>
      <c r="E415" s="245"/>
      <c r="F415" s="246"/>
      <c r="G415" s="244"/>
      <c r="H415" s="244"/>
      <c r="I415" s="244"/>
      <c r="J415" s="244"/>
      <c r="K415" s="244"/>
      <c r="L415" s="244"/>
      <c r="M415" s="244"/>
      <c r="N415" s="244"/>
      <c r="O415" s="244"/>
      <c r="P415" s="244"/>
      <c r="Q415" s="244"/>
      <c r="R415" s="244"/>
      <c r="S415" s="244"/>
      <c r="T415" s="244"/>
      <c r="U415" s="244"/>
      <c r="V415" s="247"/>
      <c r="W415" s="247"/>
    </row>
    <row r="416" spans="1:23" ht="12.75">
      <c r="A416" s="243"/>
      <c r="B416" s="243"/>
      <c r="C416" s="244"/>
      <c r="D416" s="243"/>
      <c r="E416" s="245"/>
      <c r="F416" s="246"/>
      <c r="G416" s="244"/>
      <c r="H416" s="244"/>
      <c r="I416" s="244"/>
      <c r="J416" s="244"/>
      <c r="K416" s="244"/>
      <c r="L416" s="244"/>
      <c r="M416" s="244"/>
      <c r="N416" s="244"/>
      <c r="O416" s="244"/>
      <c r="P416" s="244"/>
      <c r="Q416" s="244"/>
      <c r="R416" s="244"/>
      <c r="S416" s="244"/>
      <c r="T416" s="244"/>
      <c r="U416" s="244"/>
      <c r="V416" s="247"/>
      <c r="W416" s="247"/>
    </row>
    <row r="417" spans="1:23" ht="12.75">
      <c r="A417" s="243"/>
      <c r="B417" s="243"/>
      <c r="C417" s="244"/>
      <c r="D417" s="243"/>
      <c r="E417" s="245"/>
      <c r="F417" s="246"/>
      <c r="G417" s="244"/>
      <c r="H417" s="244"/>
      <c r="I417" s="244"/>
      <c r="J417" s="244"/>
      <c r="K417" s="244"/>
      <c r="L417" s="244"/>
      <c r="M417" s="244"/>
      <c r="N417" s="244"/>
      <c r="O417" s="244"/>
      <c r="P417" s="244"/>
      <c r="Q417" s="244"/>
      <c r="R417" s="244"/>
      <c r="S417" s="244"/>
      <c r="T417" s="244"/>
      <c r="U417" s="244"/>
      <c r="V417" s="247"/>
      <c r="W417" s="247"/>
    </row>
    <row r="418" spans="1:23" ht="12.75">
      <c r="A418" s="243"/>
      <c r="B418" s="243"/>
      <c r="C418" s="244"/>
      <c r="D418" s="243"/>
      <c r="E418" s="245"/>
      <c r="F418" s="246"/>
      <c r="G418" s="244"/>
      <c r="H418" s="244"/>
      <c r="I418" s="244"/>
      <c r="J418" s="244"/>
      <c r="K418" s="244"/>
      <c r="L418" s="244"/>
      <c r="M418" s="244"/>
      <c r="N418" s="244"/>
      <c r="O418" s="244"/>
      <c r="P418" s="244"/>
      <c r="Q418" s="244"/>
      <c r="R418" s="244"/>
      <c r="S418" s="244"/>
      <c r="T418" s="244"/>
      <c r="U418" s="244"/>
      <c r="V418" s="247"/>
      <c r="W418" s="247"/>
    </row>
    <row r="419" spans="1:23" ht="12.75">
      <c r="A419" s="243"/>
      <c r="B419" s="243"/>
      <c r="C419" s="244"/>
      <c r="D419" s="243"/>
      <c r="E419" s="245"/>
      <c r="F419" s="246"/>
      <c r="G419" s="244"/>
      <c r="H419" s="244"/>
      <c r="I419" s="244"/>
      <c r="J419" s="244"/>
      <c r="K419" s="244"/>
      <c r="L419" s="244"/>
      <c r="M419" s="244"/>
      <c r="N419" s="244"/>
      <c r="O419" s="244"/>
      <c r="P419" s="244"/>
      <c r="Q419" s="244"/>
      <c r="R419" s="244"/>
      <c r="S419" s="244"/>
      <c r="T419" s="244"/>
      <c r="U419" s="244"/>
      <c r="V419" s="247"/>
      <c r="W419" s="247"/>
    </row>
    <row r="420" spans="1:23" ht="12.75">
      <c r="A420" s="243"/>
      <c r="B420" s="243"/>
      <c r="C420" s="244"/>
      <c r="D420" s="243"/>
      <c r="E420" s="245"/>
      <c r="F420" s="246"/>
      <c r="G420" s="244"/>
      <c r="H420" s="244"/>
      <c r="I420" s="244"/>
      <c r="J420" s="244"/>
      <c r="K420" s="244"/>
      <c r="L420" s="244"/>
      <c r="M420" s="244"/>
      <c r="N420" s="244"/>
      <c r="O420" s="244"/>
      <c r="P420" s="244"/>
      <c r="Q420" s="244"/>
      <c r="R420" s="244"/>
      <c r="S420" s="244"/>
      <c r="T420" s="244"/>
      <c r="U420" s="244"/>
      <c r="V420" s="247"/>
      <c r="W420" s="247"/>
    </row>
    <row r="421" spans="1:23" ht="12.75">
      <c r="A421" s="243"/>
      <c r="B421" s="243"/>
      <c r="C421" s="244"/>
      <c r="D421" s="243"/>
      <c r="E421" s="245"/>
      <c r="F421" s="246"/>
      <c r="G421" s="244"/>
      <c r="H421" s="244"/>
      <c r="I421" s="244"/>
      <c r="J421" s="244"/>
      <c r="K421" s="244"/>
      <c r="L421" s="244"/>
      <c r="M421" s="244"/>
      <c r="N421" s="244"/>
      <c r="O421" s="244"/>
      <c r="P421" s="244"/>
      <c r="Q421" s="244"/>
      <c r="R421" s="244"/>
      <c r="S421" s="244"/>
      <c r="T421" s="244"/>
      <c r="U421" s="244"/>
      <c r="V421" s="247"/>
      <c r="W421" s="247"/>
    </row>
    <row r="422" spans="1:23" ht="12.75">
      <c r="A422" s="243"/>
      <c r="B422" s="243"/>
      <c r="C422" s="244"/>
      <c r="D422" s="243"/>
      <c r="E422" s="245"/>
      <c r="F422" s="246"/>
      <c r="G422" s="244"/>
      <c r="H422" s="244"/>
      <c r="I422" s="244"/>
      <c r="J422" s="244"/>
      <c r="K422" s="244"/>
      <c r="L422" s="244"/>
      <c r="M422" s="244"/>
      <c r="N422" s="244"/>
      <c r="O422" s="244"/>
      <c r="P422" s="244"/>
      <c r="Q422" s="244"/>
      <c r="R422" s="244"/>
      <c r="S422" s="244"/>
      <c r="T422" s="244"/>
      <c r="U422" s="244"/>
      <c r="V422" s="247"/>
      <c r="W422" s="247"/>
    </row>
    <row r="423" spans="1:23" ht="12.75">
      <c r="A423" s="243"/>
      <c r="B423" s="243"/>
      <c r="C423" s="244"/>
      <c r="D423" s="243"/>
      <c r="E423" s="245"/>
      <c r="F423" s="246"/>
      <c r="G423" s="244"/>
      <c r="H423" s="244"/>
      <c r="I423" s="244"/>
      <c r="J423" s="244"/>
      <c r="K423" s="244"/>
      <c r="L423" s="244"/>
      <c r="M423" s="244"/>
      <c r="N423" s="244"/>
      <c r="O423" s="244"/>
      <c r="P423" s="244"/>
      <c r="Q423" s="244"/>
      <c r="R423" s="244"/>
      <c r="S423" s="244"/>
      <c r="T423" s="244"/>
      <c r="U423" s="244"/>
      <c r="V423" s="247"/>
      <c r="W423" s="247"/>
    </row>
    <row r="424" spans="1:23" ht="12.75">
      <c r="A424" s="243"/>
      <c r="B424" s="243"/>
      <c r="C424" s="244"/>
      <c r="D424" s="243"/>
      <c r="E424" s="245"/>
      <c r="F424" s="246"/>
      <c r="G424" s="244"/>
      <c r="H424" s="244"/>
      <c r="I424" s="244"/>
      <c r="J424" s="244"/>
      <c r="K424" s="244"/>
      <c r="L424" s="244"/>
      <c r="M424" s="244"/>
      <c r="N424" s="244"/>
      <c r="O424" s="244"/>
      <c r="P424" s="244"/>
      <c r="Q424" s="244"/>
      <c r="R424" s="244"/>
      <c r="S424" s="244"/>
      <c r="T424" s="244"/>
      <c r="U424" s="244"/>
      <c r="V424" s="247"/>
      <c r="W424" s="247"/>
    </row>
    <row r="425" spans="1:23" ht="12.75">
      <c r="A425" s="243"/>
      <c r="B425" s="243"/>
      <c r="C425" s="244"/>
      <c r="D425" s="243"/>
      <c r="E425" s="245"/>
      <c r="F425" s="246"/>
      <c r="G425" s="244"/>
      <c r="H425" s="244"/>
      <c r="I425" s="244"/>
      <c r="J425" s="244"/>
      <c r="K425" s="244"/>
      <c r="L425" s="244"/>
      <c r="M425" s="244"/>
      <c r="N425" s="244"/>
      <c r="O425" s="244"/>
      <c r="P425" s="244"/>
      <c r="Q425" s="244"/>
      <c r="R425" s="244"/>
      <c r="S425" s="244"/>
      <c r="T425" s="244"/>
      <c r="U425" s="244"/>
      <c r="V425" s="247"/>
      <c r="W425" s="247"/>
    </row>
    <row r="426" spans="1:23" ht="12.75">
      <c r="A426" s="243"/>
      <c r="B426" s="243"/>
      <c r="C426" s="244"/>
      <c r="D426" s="243"/>
      <c r="E426" s="245"/>
      <c r="F426" s="246"/>
      <c r="G426" s="244"/>
      <c r="H426" s="244"/>
      <c r="I426" s="244"/>
      <c r="J426" s="244"/>
      <c r="K426" s="244"/>
      <c r="L426" s="244"/>
      <c r="M426" s="244"/>
      <c r="N426" s="244"/>
      <c r="O426" s="244"/>
      <c r="P426" s="244"/>
      <c r="Q426" s="244"/>
      <c r="R426" s="244"/>
      <c r="S426" s="244"/>
      <c r="T426" s="244"/>
      <c r="U426" s="244"/>
      <c r="V426" s="247"/>
      <c r="W426" s="247"/>
    </row>
    <row r="427" spans="1:23" ht="12.75">
      <c r="A427" s="243"/>
      <c r="B427" s="243"/>
      <c r="C427" s="244"/>
      <c r="D427" s="243"/>
      <c r="E427" s="245"/>
      <c r="F427" s="246"/>
      <c r="G427" s="244"/>
      <c r="H427" s="244"/>
      <c r="I427" s="244"/>
      <c r="J427" s="244"/>
      <c r="K427" s="244"/>
      <c r="L427" s="244"/>
      <c r="M427" s="244"/>
      <c r="N427" s="244"/>
      <c r="O427" s="244"/>
      <c r="P427" s="244"/>
      <c r="Q427" s="244"/>
      <c r="R427" s="244"/>
      <c r="S427" s="244"/>
      <c r="T427" s="244"/>
      <c r="U427" s="244"/>
      <c r="V427" s="247"/>
      <c r="W427" s="247"/>
    </row>
    <row r="428" spans="1:23" ht="12.75">
      <c r="A428" s="243"/>
      <c r="B428" s="243"/>
      <c r="C428" s="244"/>
      <c r="D428" s="243"/>
      <c r="E428" s="245"/>
      <c r="F428" s="246"/>
      <c r="G428" s="244"/>
      <c r="H428" s="244"/>
      <c r="I428" s="244"/>
      <c r="J428" s="244"/>
      <c r="K428" s="244"/>
      <c r="L428" s="244"/>
      <c r="M428" s="244"/>
      <c r="N428" s="244"/>
      <c r="O428" s="244"/>
      <c r="P428" s="244"/>
      <c r="Q428" s="244"/>
      <c r="R428" s="244"/>
      <c r="S428" s="244"/>
      <c r="T428" s="244"/>
      <c r="U428" s="244"/>
      <c r="V428" s="247"/>
      <c r="W428" s="247"/>
    </row>
    <row r="429" spans="1:23" ht="12.75">
      <c r="A429" s="243"/>
      <c r="B429" s="243"/>
      <c r="C429" s="244"/>
      <c r="D429" s="243"/>
      <c r="E429" s="245"/>
      <c r="F429" s="246"/>
      <c r="G429" s="244"/>
      <c r="H429" s="244"/>
      <c r="I429" s="244"/>
      <c r="J429" s="244"/>
      <c r="K429" s="244"/>
      <c r="L429" s="244"/>
      <c r="M429" s="244"/>
      <c r="N429" s="244"/>
      <c r="O429" s="244"/>
      <c r="P429" s="244"/>
      <c r="Q429" s="244"/>
      <c r="R429" s="244"/>
      <c r="S429" s="244"/>
      <c r="T429" s="244"/>
      <c r="U429" s="244"/>
      <c r="V429" s="247"/>
      <c r="W429" s="247"/>
    </row>
    <row r="430" spans="1:23" ht="12.75">
      <c r="A430" s="243"/>
      <c r="B430" s="243"/>
      <c r="C430" s="244"/>
      <c r="D430" s="243"/>
      <c r="E430" s="245"/>
      <c r="F430" s="246"/>
      <c r="G430" s="244"/>
      <c r="H430" s="244"/>
      <c r="I430" s="244"/>
      <c r="J430" s="244"/>
      <c r="K430" s="244"/>
      <c r="L430" s="244"/>
      <c r="M430" s="244"/>
      <c r="N430" s="244"/>
      <c r="O430" s="244"/>
      <c r="P430" s="244"/>
      <c r="Q430" s="244"/>
      <c r="R430" s="244"/>
      <c r="S430" s="244"/>
      <c r="T430" s="244"/>
      <c r="U430" s="244"/>
      <c r="V430" s="247"/>
      <c r="W430" s="247"/>
    </row>
    <row r="431" spans="1:23" ht="12.75">
      <c r="A431" s="243"/>
      <c r="B431" s="243"/>
      <c r="C431" s="244"/>
      <c r="D431" s="243"/>
      <c r="E431" s="245"/>
      <c r="F431" s="246"/>
      <c r="G431" s="244"/>
      <c r="H431" s="244"/>
      <c r="I431" s="244"/>
      <c r="J431" s="244"/>
      <c r="K431" s="244"/>
      <c r="L431" s="244"/>
      <c r="M431" s="244"/>
      <c r="N431" s="244"/>
      <c r="O431" s="244"/>
      <c r="P431" s="244"/>
      <c r="Q431" s="244"/>
      <c r="R431" s="244"/>
      <c r="S431" s="244"/>
      <c r="T431" s="244"/>
      <c r="U431" s="244"/>
      <c r="V431" s="247"/>
      <c r="W431" s="247"/>
    </row>
    <row r="432" spans="1:23" ht="12.75">
      <c r="A432" s="243"/>
      <c r="B432" s="243"/>
      <c r="C432" s="244"/>
      <c r="D432" s="243"/>
      <c r="E432" s="245"/>
      <c r="F432" s="246"/>
      <c r="G432" s="244"/>
      <c r="H432" s="244"/>
      <c r="I432" s="244"/>
      <c r="J432" s="244"/>
      <c r="K432" s="244"/>
      <c r="L432" s="244"/>
      <c r="M432" s="244"/>
      <c r="N432" s="244"/>
      <c r="O432" s="244"/>
      <c r="P432" s="244"/>
      <c r="Q432" s="244"/>
      <c r="R432" s="244"/>
      <c r="S432" s="244"/>
      <c r="T432" s="244"/>
      <c r="U432" s="244"/>
      <c r="V432" s="247"/>
      <c r="W432" s="247"/>
    </row>
    <row r="433" spans="1:23" ht="12.75">
      <c r="A433" s="243"/>
      <c r="B433" s="243"/>
      <c r="C433" s="244"/>
      <c r="D433" s="243"/>
      <c r="E433" s="245"/>
      <c r="F433" s="246"/>
      <c r="G433" s="244"/>
      <c r="H433" s="244"/>
      <c r="I433" s="244"/>
      <c r="J433" s="244"/>
      <c r="K433" s="244"/>
      <c r="L433" s="244"/>
      <c r="M433" s="244"/>
      <c r="N433" s="244"/>
      <c r="O433" s="244"/>
      <c r="P433" s="244"/>
      <c r="Q433" s="244"/>
      <c r="R433" s="244"/>
      <c r="S433" s="244"/>
      <c r="T433" s="244"/>
      <c r="U433" s="244"/>
      <c r="V433" s="247"/>
      <c r="W433" s="247"/>
    </row>
    <row r="434" spans="1:23" ht="12.75">
      <c r="A434" s="243"/>
      <c r="B434" s="243"/>
      <c r="C434" s="244"/>
      <c r="D434" s="243"/>
      <c r="E434" s="245"/>
      <c r="F434" s="246"/>
      <c r="G434" s="244"/>
      <c r="H434" s="244"/>
      <c r="I434" s="244"/>
      <c r="J434" s="244"/>
      <c r="K434" s="244"/>
      <c r="L434" s="244"/>
      <c r="M434" s="244"/>
      <c r="N434" s="244"/>
      <c r="O434" s="244"/>
      <c r="P434" s="244"/>
      <c r="Q434" s="244"/>
      <c r="R434" s="244"/>
      <c r="S434" s="244"/>
      <c r="T434" s="244"/>
      <c r="U434" s="244"/>
      <c r="V434" s="247"/>
      <c r="W434" s="247"/>
    </row>
    <row r="435" spans="1:23" ht="12.75">
      <c r="A435" s="243"/>
      <c r="B435" s="243"/>
      <c r="C435" s="244"/>
      <c r="D435" s="243"/>
      <c r="E435" s="245"/>
      <c r="F435" s="246"/>
      <c r="G435" s="244"/>
      <c r="H435" s="244"/>
      <c r="I435" s="244"/>
      <c r="J435" s="244"/>
      <c r="K435" s="244"/>
      <c r="L435" s="244"/>
      <c r="M435" s="244"/>
      <c r="N435" s="244"/>
      <c r="O435" s="244"/>
      <c r="P435" s="244"/>
      <c r="Q435" s="244"/>
      <c r="R435" s="244"/>
      <c r="S435" s="244"/>
      <c r="T435" s="244"/>
      <c r="U435" s="244"/>
      <c r="V435" s="247"/>
      <c r="W435" s="247"/>
    </row>
    <row r="436" spans="1:23" ht="12.75">
      <c r="A436" s="243"/>
      <c r="B436" s="243"/>
      <c r="C436" s="244"/>
      <c r="D436" s="243"/>
      <c r="E436" s="245"/>
      <c r="F436" s="246"/>
      <c r="G436" s="244"/>
      <c r="H436" s="244"/>
      <c r="I436" s="244"/>
      <c r="J436" s="244"/>
      <c r="K436" s="244"/>
      <c r="L436" s="244"/>
      <c r="M436" s="244"/>
      <c r="N436" s="244"/>
      <c r="O436" s="244"/>
      <c r="P436" s="244"/>
      <c r="Q436" s="244"/>
      <c r="R436" s="244"/>
      <c r="S436" s="244"/>
      <c r="T436" s="244"/>
      <c r="U436" s="244"/>
      <c r="V436" s="247"/>
      <c r="W436" s="247"/>
    </row>
    <row r="437" spans="1:23" ht="12.75">
      <c r="A437" s="243"/>
      <c r="B437" s="243"/>
      <c r="C437" s="244"/>
      <c r="D437" s="243"/>
      <c r="E437" s="245"/>
      <c r="F437" s="246"/>
      <c r="G437" s="244"/>
      <c r="H437" s="244"/>
      <c r="I437" s="244"/>
      <c r="J437" s="244"/>
      <c r="K437" s="244"/>
      <c r="L437" s="244"/>
      <c r="M437" s="244"/>
      <c r="N437" s="244"/>
      <c r="O437" s="244"/>
      <c r="P437" s="244"/>
      <c r="Q437" s="244"/>
      <c r="R437" s="244"/>
      <c r="S437" s="244"/>
      <c r="T437" s="244"/>
      <c r="U437" s="244"/>
      <c r="V437" s="247"/>
      <c r="W437" s="247"/>
    </row>
    <row r="438" spans="1:23" ht="12.75">
      <c r="A438" s="243"/>
      <c r="B438" s="243"/>
      <c r="C438" s="244"/>
      <c r="D438" s="243"/>
      <c r="E438" s="245"/>
      <c r="F438" s="246"/>
      <c r="G438" s="244"/>
      <c r="H438" s="244"/>
      <c r="I438" s="244"/>
      <c r="J438" s="244"/>
      <c r="K438" s="244"/>
      <c r="L438" s="244"/>
      <c r="M438" s="244"/>
      <c r="N438" s="244"/>
      <c r="O438" s="244"/>
      <c r="P438" s="244"/>
      <c r="Q438" s="244"/>
      <c r="R438" s="244"/>
      <c r="S438" s="244"/>
      <c r="T438" s="244"/>
      <c r="U438" s="244"/>
      <c r="V438" s="247"/>
      <c r="W438" s="247"/>
    </row>
    <row r="439" spans="1:23" ht="12.75">
      <c r="A439" s="243"/>
      <c r="B439" s="243"/>
      <c r="C439" s="244"/>
      <c r="D439" s="243"/>
      <c r="E439" s="245"/>
      <c r="F439" s="246"/>
      <c r="G439" s="244"/>
      <c r="H439" s="244"/>
      <c r="I439" s="244"/>
      <c r="J439" s="244"/>
      <c r="K439" s="244"/>
      <c r="L439" s="244"/>
      <c r="M439" s="244"/>
      <c r="N439" s="244"/>
      <c r="O439" s="244"/>
      <c r="P439" s="244"/>
      <c r="Q439" s="244"/>
      <c r="R439" s="244"/>
      <c r="S439" s="244"/>
      <c r="T439" s="244"/>
      <c r="U439" s="244"/>
      <c r="V439" s="247"/>
      <c r="W439" s="247"/>
    </row>
    <row r="440" spans="1:23" ht="12.75">
      <c r="A440" s="243"/>
      <c r="B440" s="243"/>
      <c r="C440" s="244"/>
      <c r="D440" s="243"/>
      <c r="E440" s="245"/>
      <c r="F440" s="246"/>
      <c r="G440" s="244"/>
      <c r="H440" s="244"/>
      <c r="I440" s="244"/>
      <c r="J440" s="244"/>
      <c r="K440" s="244"/>
      <c r="L440" s="244"/>
      <c r="M440" s="244"/>
      <c r="N440" s="244"/>
      <c r="O440" s="244"/>
      <c r="P440" s="244"/>
      <c r="Q440" s="244"/>
      <c r="R440" s="244"/>
      <c r="S440" s="244"/>
      <c r="T440" s="244"/>
      <c r="U440" s="244"/>
      <c r="V440" s="247"/>
      <c r="W440" s="247"/>
    </row>
    <row r="441" spans="1:23" ht="12.75">
      <c r="A441" s="243"/>
      <c r="B441" s="243"/>
      <c r="C441" s="244"/>
      <c r="D441" s="243"/>
      <c r="E441" s="245"/>
      <c r="F441" s="246"/>
      <c r="G441" s="244"/>
      <c r="H441" s="244"/>
      <c r="I441" s="244"/>
      <c r="J441" s="244"/>
      <c r="K441" s="244"/>
      <c r="L441" s="244"/>
      <c r="M441" s="244"/>
      <c r="N441" s="244"/>
      <c r="O441" s="244"/>
      <c r="P441" s="244"/>
      <c r="Q441" s="244"/>
      <c r="R441" s="244"/>
      <c r="S441" s="244"/>
      <c r="T441" s="244"/>
      <c r="U441" s="244"/>
      <c r="V441" s="247"/>
      <c r="W441" s="247"/>
    </row>
    <row r="442" spans="1:23" ht="12.75">
      <c r="A442" s="243"/>
      <c r="B442" s="243"/>
      <c r="C442" s="244"/>
      <c r="D442" s="243"/>
      <c r="E442" s="245"/>
      <c r="F442" s="246"/>
      <c r="G442" s="244"/>
      <c r="H442" s="244"/>
      <c r="I442" s="244"/>
      <c r="J442" s="244"/>
      <c r="K442" s="244"/>
      <c r="L442" s="244"/>
      <c r="M442" s="244"/>
      <c r="N442" s="244"/>
      <c r="O442" s="244"/>
      <c r="P442" s="244"/>
      <c r="Q442" s="244"/>
      <c r="R442" s="244"/>
      <c r="S442" s="244"/>
      <c r="T442" s="244"/>
      <c r="U442" s="244"/>
      <c r="V442" s="247"/>
      <c r="W442" s="247"/>
    </row>
    <row r="443" spans="1:23" ht="12.75">
      <c r="A443" s="243"/>
      <c r="B443" s="243"/>
      <c r="C443" s="244"/>
      <c r="D443" s="243"/>
      <c r="E443" s="245"/>
      <c r="F443" s="246"/>
      <c r="G443" s="244"/>
      <c r="H443" s="244"/>
      <c r="I443" s="244"/>
      <c r="J443" s="244"/>
      <c r="K443" s="244"/>
      <c r="L443" s="244"/>
      <c r="M443" s="244"/>
      <c r="N443" s="244"/>
      <c r="O443" s="244"/>
      <c r="P443" s="244"/>
      <c r="Q443" s="244"/>
      <c r="R443" s="244"/>
      <c r="S443" s="244"/>
      <c r="T443" s="244"/>
      <c r="U443" s="244"/>
      <c r="V443" s="247"/>
      <c r="W443" s="247"/>
    </row>
    <row r="444" spans="1:23" ht="12.75">
      <c r="A444" s="243"/>
      <c r="B444" s="243"/>
      <c r="C444" s="244"/>
      <c r="D444" s="243"/>
      <c r="E444" s="245"/>
      <c r="F444" s="246"/>
      <c r="G444" s="244"/>
      <c r="H444" s="244"/>
      <c r="I444" s="244"/>
      <c r="J444" s="244"/>
      <c r="K444" s="244"/>
      <c r="L444" s="244"/>
      <c r="M444" s="244"/>
      <c r="N444" s="244"/>
      <c r="O444" s="244"/>
      <c r="P444" s="244"/>
      <c r="Q444" s="244"/>
      <c r="R444" s="244"/>
      <c r="S444" s="244"/>
      <c r="T444" s="244"/>
      <c r="U444" s="244"/>
      <c r="V444" s="247"/>
      <c r="W444" s="247"/>
    </row>
    <row r="445" spans="1:23" ht="12.75">
      <c r="A445" s="243"/>
      <c r="B445" s="243"/>
      <c r="C445" s="244"/>
      <c r="D445" s="243"/>
      <c r="E445" s="245"/>
      <c r="F445" s="246"/>
      <c r="G445" s="244"/>
      <c r="H445" s="244"/>
      <c r="I445" s="244"/>
      <c r="J445" s="244"/>
      <c r="K445" s="244"/>
      <c r="L445" s="244"/>
      <c r="M445" s="244"/>
      <c r="N445" s="244"/>
      <c r="O445" s="244"/>
      <c r="P445" s="244"/>
      <c r="Q445" s="244"/>
      <c r="R445" s="244"/>
      <c r="S445" s="244"/>
      <c r="T445" s="244"/>
      <c r="U445" s="244"/>
      <c r="V445" s="247"/>
      <c r="W445" s="247"/>
    </row>
    <row r="446" spans="1:23" ht="12.75">
      <c r="A446" s="243"/>
      <c r="B446" s="243"/>
      <c r="C446" s="244"/>
      <c r="D446" s="243"/>
      <c r="E446" s="245"/>
      <c r="F446" s="246"/>
      <c r="G446" s="244"/>
      <c r="H446" s="244"/>
      <c r="I446" s="244"/>
      <c r="J446" s="244"/>
      <c r="K446" s="244"/>
      <c r="L446" s="244"/>
      <c r="M446" s="244"/>
      <c r="N446" s="244"/>
      <c r="O446" s="244"/>
      <c r="P446" s="244"/>
      <c r="Q446" s="244"/>
      <c r="R446" s="244"/>
      <c r="S446" s="244"/>
      <c r="T446" s="244"/>
      <c r="U446" s="244"/>
      <c r="V446" s="247"/>
      <c r="W446" s="247"/>
    </row>
    <row r="447" spans="1:23" ht="12.75">
      <c r="A447" s="243"/>
      <c r="B447" s="243"/>
      <c r="C447" s="244"/>
      <c r="D447" s="243"/>
      <c r="E447" s="245"/>
      <c r="F447" s="246"/>
      <c r="G447" s="244"/>
      <c r="H447" s="244"/>
      <c r="I447" s="244"/>
      <c r="J447" s="244"/>
      <c r="K447" s="244"/>
      <c r="L447" s="244"/>
      <c r="M447" s="244"/>
      <c r="N447" s="244"/>
      <c r="O447" s="244"/>
      <c r="P447" s="244"/>
      <c r="Q447" s="244"/>
      <c r="R447" s="244"/>
      <c r="S447" s="244"/>
      <c r="T447" s="244"/>
      <c r="U447" s="244"/>
      <c r="V447" s="247"/>
      <c r="W447" s="247"/>
    </row>
    <row r="448" spans="1:23" ht="12.75">
      <c r="A448" s="243"/>
      <c r="B448" s="243"/>
      <c r="C448" s="244"/>
      <c r="D448" s="243"/>
      <c r="E448" s="245"/>
      <c r="F448" s="246"/>
      <c r="G448" s="244"/>
      <c r="H448" s="244"/>
      <c r="I448" s="244"/>
      <c r="J448" s="244"/>
      <c r="K448" s="244"/>
      <c r="L448" s="244"/>
      <c r="M448" s="244"/>
      <c r="N448" s="244"/>
      <c r="O448" s="244"/>
      <c r="P448" s="244"/>
      <c r="Q448" s="244"/>
      <c r="R448" s="244"/>
      <c r="S448" s="244"/>
      <c r="T448" s="244"/>
      <c r="U448" s="244"/>
      <c r="V448" s="247"/>
      <c r="W448" s="247"/>
    </row>
    <row r="449" spans="1:23" ht="12.75">
      <c r="A449" s="243"/>
      <c r="B449" s="243"/>
      <c r="C449" s="244"/>
      <c r="D449" s="243"/>
      <c r="E449" s="245"/>
      <c r="F449" s="246"/>
      <c r="G449" s="244"/>
      <c r="H449" s="244"/>
      <c r="I449" s="244"/>
      <c r="J449" s="244"/>
      <c r="K449" s="244"/>
      <c r="L449" s="244"/>
      <c r="M449" s="244"/>
      <c r="N449" s="244"/>
      <c r="O449" s="244"/>
      <c r="P449" s="244"/>
      <c r="Q449" s="244"/>
      <c r="R449" s="244"/>
      <c r="S449" s="244"/>
      <c r="T449" s="244"/>
      <c r="U449" s="244"/>
      <c r="V449" s="247"/>
      <c r="W449" s="247"/>
    </row>
    <row r="450" spans="1:23" ht="12.75">
      <c r="A450" s="243"/>
      <c r="B450" s="243"/>
      <c r="C450" s="244"/>
      <c r="D450" s="243"/>
      <c r="E450" s="245"/>
      <c r="F450" s="246"/>
      <c r="G450" s="244"/>
      <c r="H450" s="244"/>
      <c r="I450" s="244"/>
      <c r="J450" s="244"/>
      <c r="K450" s="244"/>
      <c r="L450" s="244"/>
      <c r="M450" s="244"/>
      <c r="N450" s="244"/>
      <c r="O450" s="244"/>
      <c r="P450" s="244"/>
      <c r="Q450" s="244"/>
      <c r="R450" s="244"/>
      <c r="S450" s="244"/>
      <c r="T450" s="244"/>
      <c r="U450" s="244"/>
      <c r="V450" s="247"/>
      <c r="W450" s="247"/>
    </row>
    <row r="451" spans="1:23" ht="12.75">
      <c r="A451" s="243"/>
      <c r="B451" s="243"/>
      <c r="C451" s="244"/>
      <c r="D451" s="243"/>
      <c r="E451" s="245"/>
      <c r="F451" s="246"/>
      <c r="G451" s="244"/>
      <c r="H451" s="244"/>
      <c r="I451" s="244"/>
      <c r="J451" s="244"/>
      <c r="K451" s="244"/>
      <c r="L451" s="244"/>
      <c r="M451" s="244"/>
      <c r="N451" s="244"/>
      <c r="O451" s="244"/>
      <c r="P451" s="244"/>
      <c r="Q451" s="244"/>
      <c r="R451" s="244"/>
      <c r="S451" s="244"/>
      <c r="T451" s="244"/>
      <c r="U451" s="244"/>
      <c r="V451" s="247"/>
      <c r="W451" s="247"/>
    </row>
    <row r="452" spans="1:23" ht="12.75">
      <c r="A452" s="243"/>
      <c r="B452" s="243"/>
      <c r="C452" s="244"/>
      <c r="D452" s="243"/>
      <c r="E452" s="245"/>
      <c r="F452" s="246"/>
      <c r="G452" s="244"/>
      <c r="H452" s="244"/>
      <c r="I452" s="244"/>
      <c r="J452" s="244"/>
      <c r="K452" s="244"/>
      <c r="L452" s="244"/>
      <c r="M452" s="244"/>
      <c r="N452" s="244"/>
      <c r="O452" s="244"/>
      <c r="P452" s="244"/>
      <c r="Q452" s="244"/>
      <c r="R452" s="244"/>
      <c r="S452" s="244"/>
      <c r="T452" s="244"/>
      <c r="U452" s="244"/>
      <c r="V452" s="247"/>
      <c r="W452" s="247"/>
    </row>
    <row r="453" spans="1:23" ht="12.75">
      <c r="A453" s="243"/>
      <c r="B453" s="243"/>
      <c r="C453" s="244"/>
      <c r="D453" s="243"/>
      <c r="E453" s="245"/>
      <c r="F453" s="246"/>
      <c r="G453" s="244"/>
      <c r="H453" s="244"/>
      <c r="I453" s="244"/>
      <c r="J453" s="244"/>
      <c r="K453" s="244"/>
      <c r="L453" s="244"/>
      <c r="M453" s="244"/>
      <c r="N453" s="244"/>
      <c r="O453" s="244"/>
      <c r="P453" s="244"/>
      <c r="Q453" s="244"/>
      <c r="R453" s="244"/>
      <c r="S453" s="244"/>
      <c r="T453" s="244"/>
      <c r="U453" s="244"/>
      <c r="V453" s="247"/>
      <c r="W453" s="247"/>
    </row>
    <row r="454" spans="1:23" ht="12.75">
      <c r="A454" s="243"/>
      <c r="B454" s="243"/>
      <c r="C454" s="244"/>
      <c r="D454" s="243"/>
      <c r="E454" s="245"/>
      <c r="F454" s="246"/>
      <c r="G454" s="244"/>
      <c r="H454" s="244"/>
      <c r="I454" s="244"/>
      <c r="J454" s="244"/>
      <c r="K454" s="244"/>
      <c r="L454" s="244"/>
      <c r="M454" s="244"/>
      <c r="N454" s="244"/>
      <c r="O454" s="244"/>
      <c r="P454" s="244"/>
      <c r="Q454" s="244"/>
      <c r="R454" s="244"/>
      <c r="S454" s="244"/>
      <c r="T454" s="244"/>
      <c r="U454" s="244"/>
      <c r="V454" s="247"/>
      <c r="W454" s="247"/>
    </row>
    <row r="455" spans="1:23" ht="12.75">
      <c r="A455" s="243"/>
      <c r="B455" s="243"/>
      <c r="C455" s="244"/>
      <c r="D455" s="243"/>
      <c r="E455" s="245"/>
      <c r="F455" s="246"/>
      <c r="G455" s="244"/>
      <c r="H455" s="244"/>
      <c r="I455" s="244"/>
      <c r="J455" s="244"/>
      <c r="K455" s="244"/>
      <c r="L455" s="244"/>
      <c r="M455" s="244"/>
      <c r="N455" s="244"/>
      <c r="O455" s="244"/>
      <c r="P455" s="244"/>
      <c r="Q455" s="244"/>
      <c r="R455" s="244"/>
      <c r="S455" s="244"/>
      <c r="T455" s="244"/>
      <c r="U455" s="244"/>
      <c r="V455" s="247"/>
      <c r="W455" s="247"/>
    </row>
    <row r="456" spans="1:23" ht="12.75">
      <c r="A456" s="243"/>
      <c r="B456" s="243"/>
      <c r="C456" s="244"/>
      <c r="D456" s="243"/>
      <c r="E456" s="245"/>
      <c r="F456" s="246"/>
      <c r="G456" s="244"/>
      <c r="H456" s="244"/>
      <c r="I456" s="244"/>
      <c r="J456" s="244"/>
      <c r="K456" s="244"/>
      <c r="L456" s="244"/>
      <c r="M456" s="244"/>
      <c r="N456" s="244"/>
      <c r="O456" s="244"/>
      <c r="P456" s="244"/>
      <c r="Q456" s="244"/>
      <c r="R456" s="244"/>
      <c r="S456" s="244"/>
      <c r="T456" s="244"/>
      <c r="U456" s="244"/>
      <c r="V456" s="247"/>
      <c r="W456" s="247"/>
    </row>
    <row r="457" spans="1:23" ht="12.75">
      <c r="A457" s="243"/>
      <c r="B457" s="243"/>
      <c r="C457" s="244"/>
      <c r="D457" s="243"/>
      <c r="E457" s="245"/>
      <c r="F457" s="246"/>
      <c r="G457" s="244"/>
      <c r="H457" s="244"/>
      <c r="I457" s="244"/>
      <c r="J457" s="244"/>
      <c r="K457" s="244"/>
      <c r="L457" s="244"/>
      <c r="M457" s="244"/>
      <c r="N457" s="244"/>
      <c r="O457" s="244"/>
      <c r="P457" s="244"/>
      <c r="Q457" s="244"/>
      <c r="R457" s="244"/>
      <c r="S457" s="244"/>
      <c r="T457" s="244"/>
      <c r="U457" s="244"/>
      <c r="V457" s="247"/>
      <c r="W457" s="247"/>
    </row>
    <row r="458" spans="1:23" ht="12.75">
      <c r="A458" s="243"/>
      <c r="B458" s="243"/>
      <c r="C458" s="244"/>
      <c r="D458" s="243"/>
      <c r="E458" s="245"/>
      <c r="F458" s="246"/>
      <c r="G458" s="244"/>
      <c r="H458" s="244"/>
      <c r="I458" s="244"/>
      <c r="J458" s="244"/>
      <c r="K458" s="244"/>
      <c r="L458" s="244"/>
      <c r="M458" s="244"/>
      <c r="N458" s="244"/>
      <c r="O458" s="244"/>
      <c r="P458" s="244"/>
      <c r="Q458" s="244"/>
      <c r="R458" s="244"/>
      <c r="S458" s="244"/>
      <c r="T458" s="244"/>
      <c r="U458" s="244"/>
      <c r="V458" s="247"/>
      <c r="W458" s="247"/>
    </row>
    <row r="459" spans="1:23" ht="12.75">
      <c r="A459" s="243"/>
      <c r="B459" s="243"/>
      <c r="C459" s="244"/>
      <c r="D459" s="243"/>
      <c r="E459" s="245"/>
      <c r="F459" s="246"/>
      <c r="G459" s="244"/>
      <c r="H459" s="244"/>
      <c r="I459" s="244"/>
      <c r="J459" s="244"/>
      <c r="K459" s="244"/>
      <c r="L459" s="244"/>
      <c r="M459" s="244"/>
      <c r="N459" s="244"/>
      <c r="O459" s="244"/>
      <c r="P459" s="244"/>
      <c r="Q459" s="244"/>
      <c r="R459" s="244"/>
      <c r="S459" s="244"/>
      <c r="T459" s="244"/>
      <c r="U459" s="244"/>
      <c r="V459" s="247"/>
      <c r="W459" s="247"/>
    </row>
    <row r="460" spans="1:23" ht="12.75">
      <c r="A460" s="243"/>
      <c r="B460" s="243"/>
      <c r="C460" s="244"/>
      <c r="D460" s="243"/>
      <c r="E460" s="245"/>
      <c r="F460" s="246"/>
      <c r="G460" s="244"/>
      <c r="H460" s="244"/>
      <c r="I460" s="244"/>
      <c r="J460" s="244"/>
      <c r="K460" s="244"/>
      <c r="L460" s="244"/>
      <c r="M460" s="244"/>
      <c r="N460" s="244"/>
      <c r="O460" s="244"/>
      <c r="P460" s="244"/>
      <c r="Q460" s="244"/>
      <c r="R460" s="244"/>
      <c r="S460" s="244"/>
      <c r="T460" s="244"/>
      <c r="U460" s="244"/>
      <c r="V460" s="247"/>
      <c r="W460" s="247"/>
    </row>
    <row r="461" spans="1:23" ht="12.75">
      <c r="A461" s="243"/>
      <c r="B461" s="243"/>
      <c r="C461" s="244"/>
      <c r="D461" s="243"/>
      <c r="E461" s="245"/>
      <c r="F461" s="246"/>
      <c r="G461" s="244"/>
      <c r="H461" s="244"/>
      <c r="I461" s="244"/>
      <c r="J461" s="244"/>
      <c r="K461" s="244"/>
      <c r="L461" s="244"/>
      <c r="M461" s="244"/>
      <c r="N461" s="244"/>
      <c r="O461" s="244"/>
      <c r="P461" s="244"/>
      <c r="Q461" s="244"/>
      <c r="R461" s="244"/>
      <c r="S461" s="244"/>
      <c r="T461" s="244"/>
      <c r="U461" s="244"/>
      <c r="V461" s="247"/>
      <c r="W461" s="247"/>
    </row>
    <row r="462" spans="1:23" ht="12.75">
      <c r="A462" s="243"/>
      <c r="B462" s="243"/>
      <c r="C462" s="244"/>
      <c r="D462" s="243"/>
      <c r="E462" s="245"/>
      <c r="F462" s="246"/>
      <c r="G462" s="244"/>
      <c r="H462" s="244"/>
      <c r="I462" s="244"/>
      <c r="J462" s="244"/>
      <c r="K462" s="244"/>
      <c r="L462" s="244"/>
      <c r="M462" s="244"/>
      <c r="N462" s="244"/>
      <c r="O462" s="244"/>
      <c r="P462" s="244"/>
      <c r="Q462" s="244"/>
      <c r="R462" s="244"/>
      <c r="S462" s="244"/>
      <c r="T462" s="244"/>
      <c r="U462" s="244"/>
      <c r="V462" s="247"/>
      <c r="W462" s="247"/>
    </row>
    <row r="463" spans="1:23" ht="12.75">
      <c r="A463" s="243"/>
      <c r="B463" s="243"/>
      <c r="C463" s="244"/>
      <c r="D463" s="243"/>
      <c r="E463" s="245"/>
      <c r="F463" s="246"/>
      <c r="G463" s="244"/>
      <c r="H463" s="244"/>
      <c r="I463" s="244"/>
      <c r="J463" s="244"/>
      <c r="K463" s="244"/>
      <c r="L463" s="244"/>
      <c r="M463" s="244"/>
      <c r="N463" s="244"/>
      <c r="O463" s="244"/>
      <c r="P463" s="244"/>
      <c r="Q463" s="244"/>
      <c r="R463" s="244"/>
      <c r="S463" s="244"/>
      <c r="T463" s="244"/>
      <c r="U463" s="244"/>
      <c r="V463" s="247"/>
      <c r="W463" s="247"/>
    </row>
    <row r="464" spans="1:23" ht="12.75">
      <c r="A464" s="243"/>
      <c r="B464" s="243"/>
      <c r="C464" s="244"/>
      <c r="D464" s="243"/>
      <c r="E464" s="245"/>
      <c r="F464" s="246"/>
      <c r="G464" s="244"/>
      <c r="H464" s="244"/>
      <c r="I464" s="244"/>
      <c r="J464" s="244"/>
      <c r="K464" s="244"/>
      <c r="L464" s="244"/>
      <c r="M464" s="244"/>
      <c r="N464" s="244"/>
      <c r="O464" s="244"/>
      <c r="P464" s="244"/>
      <c r="Q464" s="244"/>
      <c r="R464" s="244"/>
      <c r="S464" s="244"/>
      <c r="T464" s="244"/>
      <c r="U464" s="244"/>
      <c r="V464" s="247"/>
      <c r="W464" s="247"/>
    </row>
    <row r="465" spans="1:23" ht="12.75">
      <c r="A465" s="243"/>
      <c r="B465" s="243"/>
      <c r="C465" s="244"/>
      <c r="D465" s="243"/>
      <c r="E465" s="245"/>
      <c r="F465" s="246"/>
      <c r="G465" s="244"/>
      <c r="H465" s="244"/>
      <c r="I465" s="244"/>
      <c r="J465" s="244"/>
      <c r="K465" s="244"/>
      <c r="L465" s="244"/>
      <c r="M465" s="244"/>
      <c r="N465" s="244"/>
      <c r="O465" s="244"/>
      <c r="P465" s="244"/>
      <c r="Q465" s="244"/>
      <c r="R465" s="244"/>
      <c r="S465" s="244"/>
      <c r="T465" s="244"/>
      <c r="U465" s="244"/>
      <c r="V465" s="247"/>
      <c r="W465" s="247"/>
    </row>
    <row r="466" spans="1:23" ht="12.75">
      <c r="A466" s="243"/>
      <c r="B466" s="243"/>
      <c r="C466" s="244"/>
      <c r="D466" s="243"/>
      <c r="E466" s="245"/>
      <c r="F466" s="246"/>
      <c r="G466" s="244"/>
      <c r="H466" s="244"/>
      <c r="I466" s="244"/>
      <c r="J466" s="244"/>
      <c r="K466" s="244"/>
      <c r="L466" s="244"/>
      <c r="M466" s="244"/>
      <c r="N466" s="244"/>
      <c r="O466" s="244"/>
      <c r="P466" s="244"/>
      <c r="Q466" s="244"/>
      <c r="R466" s="244"/>
      <c r="S466" s="244"/>
      <c r="T466" s="244"/>
      <c r="U466" s="244"/>
      <c r="V466" s="247"/>
      <c r="W466" s="247"/>
    </row>
    <row r="467" spans="1:23" ht="12.75">
      <c r="A467" s="243"/>
      <c r="B467" s="243"/>
      <c r="C467" s="244"/>
      <c r="D467" s="243"/>
      <c r="E467" s="245"/>
      <c r="F467" s="246"/>
      <c r="G467" s="244"/>
      <c r="H467" s="244"/>
      <c r="I467" s="244"/>
      <c r="J467" s="244"/>
      <c r="K467" s="244"/>
      <c r="L467" s="244"/>
      <c r="M467" s="244"/>
      <c r="N467" s="244"/>
      <c r="O467" s="244"/>
      <c r="P467" s="244"/>
      <c r="Q467" s="244"/>
      <c r="R467" s="244"/>
      <c r="S467" s="244"/>
      <c r="T467" s="244"/>
      <c r="U467" s="244"/>
      <c r="V467" s="247"/>
      <c r="W467" s="247"/>
    </row>
    <row r="468" spans="1:23" ht="12.75">
      <c r="A468" s="243"/>
      <c r="B468" s="243"/>
      <c r="C468" s="244"/>
      <c r="D468" s="243"/>
      <c r="E468" s="245"/>
      <c r="F468" s="246"/>
      <c r="G468" s="244"/>
      <c r="H468" s="244"/>
      <c r="I468" s="244"/>
      <c r="J468" s="244"/>
      <c r="K468" s="244"/>
      <c r="L468" s="244"/>
      <c r="M468" s="244"/>
      <c r="N468" s="244"/>
      <c r="O468" s="244"/>
      <c r="P468" s="244"/>
      <c r="Q468" s="244"/>
      <c r="R468" s="244"/>
      <c r="S468" s="244"/>
      <c r="T468" s="244"/>
      <c r="U468" s="244"/>
      <c r="V468" s="247"/>
      <c r="W468" s="247"/>
    </row>
    <row r="469" spans="1:23" ht="12.75">
      <c r="A469" s="243"/>
      <c r="B469" s="243"/>
      <c r="C469" s="244"/>
      <c r="D469" s="243"/>
      <c r="E469" s="245"/>
      <c r="F469" s="246"/>
      <c r="G469" s="244"/>
      <c r="H469" s="244"/>
      <c r="I469" s="244"/>
      <c r="J469" s="244"/>
      <c r="K469" s="244"/>
      <c r="L469" s="244"/>
      <c r="M469" s="244"/>
      <c r="N469" s="244"/>
      <c r="O469" s="244"/>
      <c r="P469" s="244"/>
      <c r="Q469" s="244"/>
      <c r="R469" s="244"/>
      <c r="S469" s="244"/>
      <c r="T469" s="244"/>
      <c r="U469" s="244"/>
      <c r="V469" s="247"/>
      <c r="W469" s="247"/>
    </row>
    <row r="470" spans="1:23" ht="12.75">
      <c r="A470" s="243"/>
      <c r="B470" s="243"/>
      <c r="C470" s="244"/>
      <c r="D470" s="243"/>
      <c r="E470" s="245"/>
      <c r="F470" s="246"/>
      <c r="G470" s="244"/>
      <c r="H470" s="244"/>
      <c r="I470" s="244"/>
      <c r="J470" s="244"/>
      <c r="K470" s="244"/>
      <c r="L470" s="244"/>
      <c r="M470" s="244"/>
      <c r="N470" s="244"/>
      <c r="O470" s="244"/>
      <c r="P470" s="244"/>
      <c r="Q470" s="244"/>
      <c r="R470" s="244"/>
      <c r="S470" s="244"/>
      <c r="T470" s="244"/>
      <c r="U470" s="244"/>
      <c r="V470" s="247"/>
      <c r="W470" s="247"/>
    </row>
    <row r="471" spans="1:23" ht="12.75">
      <c r="A471" s="243"/>
      <c r="B471" s="243"/>
      <c r="C471" s="244"/>
      <c r="D471" s="243"/>
      <c r="E471" s="245"/>
      <c r="F471" s="246"/>
      <c r="G471" s="244"/>
      <c r="H471" s="244"/>
      <c r="I471" s="244"/>
      <c r="J471" s="244"/>
      <c r="K471" s="244"/>
      <c r="L471" s="244"/>
      <c r="M471" s="244"/>
      <c r="N471" s="244"/>
      <c r="O471" s="244"/>
      <c r="P471" s="244"/>
      <c r="Q471" s="244"/>
      <c r="R471" s="244"/>
      <c r="S471" s="244"/>
      <c r="T471" s="244"/>
      <c r="U471" s="244"/>
      <c r="V471" s="247"/>
      <c r="W471" s="247"/>
    </row>
    <row r="472" spans="1:23" ht="12.75">
      <c r="A472" s="243"/>
      <c r="B472" s="243"/>
      <c r="C472" s="244"/>
      <c r="D472" s="243"/>
      <c r="E472" s="245"/>
      <c r="F472" s="246"/>
      <c r="G472" s="244"/>
      <c r="H472" s="244"/>
      <c r="I472" s="244"/>
      <c r="J472" s="244"/>
      <c r="K472" s="244"/>
      <c r="L472" s="244"/>
      <c r="M472" s="244"/>
      <c r="N472" s="244"/>
      <c r="O472" s="244"/>
      <c r="P472" s="244"/>
      <c r="Q472" s="244"/>
      <c r="R472" s="244"/>
      <c r="S472" s="244"/>
      <c r="T472" s="244"/>
      <c r="U472" s="244"/>
      <c r="V472" s="247"/>
      <c r="W472" s="247"/>
    </row>
    <row r="473" spans="1:23" ht="12.75">
      <c r="A473" s="243"/>
      <c r="B473" s="243"/>
      <c r="C473" s="244"/>
      <c r="D473" s="243"/>
      <c r="E473" s="245"/>
      <c r="F473" s="246"/>
      <c r="G473" s="244"/>
      <c r="H473" s="244"/>
      <c r="I473" s="244"/>
      <c r="J473" s="244"/>
      <c r="K473" s="244"/>
      <c r="L473" s="244"/>
      <c r="M473" s="244"/>
      <c r="N473" s="244"/>
      <c r="O473" s="244"/>
      <c r="P473" s="244"/>
      <c r="Q473" s="244"/>
      <c r="R473" s="244"/>
      <c r="S473" s="244"/>
      <c r="T473" s="244"/>
      <c r="U473" s="244"/>
      <c r="V473" s="247"/>
      <c r="W473" s="247"/>
    </row>
    <row r="474" spans="1:23" ht="12.75">
      <c r="A474" s="243"/>
      <c r="B474" s="243"/>
      <c r="C474" s="244"/>
      <c r="D474" s="243"/>
      <c r="E474" s="245"/>
      <c r="F474" s="246"/>
      <c r="G474" s="244"/>
      <c r="H474" s="244"/>
      <c r="I474" s="244"/>
      <c r="J474" s="244"/>
      <c r="K474" s="244"/>
      <c r="L474" s="244"/>
      <c r="M474" s="244"/>
      <c r="N474" s="244"/>
      <c r="O474" s="244"/>
      <c r="P474" s="244"/>
      <c r="Q474" s="244"/>
      <c r="R474" s="244"/>
      <c r="S474" s="244"/>
      <c r="T474" s="244"/>
      <c r="U474" s="244"/>
      <c r="V474" s="247"/>
      <c r="W474" s="247"/>
    </row>
    <row r="475" spans="1:23" ht="12.75">
      <c r="A475" s="243"/>
      <c r="B475" s="243"/>
      <c r="C475" s="244"/>
      <c r="D475" s="243"/>
      <c r="E475" s="245"/>
      <c r="F475" s="246"/>
      <c r="G475" s="244"/>
      <c r="H475" s="244"/>
      <c r="I475" s="244"/>
      <c r="J475" s="244"/>
      <c r="K475" s="244"/>
      <c r="L475" s="244"/>
      <c r="M475" s="244"/>
      <c r="N475" s="244"/>
      <c r="O475" s="244"/>
      <c r="P475" s="244"/>
      <c r="Q475" s="244"/>
      <c r="R475" s="244"/>
      <c r="S475" s="244"/>
      <c r="T475" s="244"/>
      <c r="U475" s="244"/>
      <c r="V475" s="247"/>
      <c r="W475" s="247"/>
    </row>
    <row r="476" spans="1:23" ht="12.75">
      <c r="A476" s="243"/>
      <c r="B476" s="243"/>
      <c r="C476" s="244"/>
      <c r="D476" s="243"/>
      <c r="E476" s="245"/>
      <c r="F476" s="246"/>
      <c r="G476" s="244"/>
      <c r="H476" s="244"/>
      <c r="I476" s="244"/>
      <c r="J476" s="244"/>
      <c r="K476" s="244"/>
      <c r="L476" s="244"/>
      <c r="M476" s="244"/>
      <c r="N476" s="244"/>
      <c r="O476" s="244"/>
      <c r="P476" s="244"/>
      <c r="Q476" s="244"/>
      <c r="R476" s="244"/>
      <c r="S476" s="244"/>
      <c r="T476" s="244"/>
      <c r="U476" s="244"/>
      <c r="V476" s="247"/>
      <c r="W476" s="247"/>
    </row>
    <row r="477" spans="1:23" ht="12.75">
      <c r="A477" s="243"/>
      <c r="B477" s="243"/>
      <c r="C477" s="244"/>
      <c r="D477" s="243"/>
      <c r="E477" s="245"/>
      <c r="F477" s="246"/>
      <c r="G477" s="244"/>
      <c r="H477" s="244"/>
      <c r="I477" s="244"/>
      <c r="J477" s="244"/>
      <c r="K477" s="244"/>
      <c r="L477" s="244"/>
      <c r="M477" s="244"/>
      <c r="N477" s="244"/>
      <c r="O477" s="244"/>
      <c r="P477" s="244"/>
      <c r="Q477" s="244"/>
      <c r="R477" s="244"/>
      <c r="S477" s="244"/>
      <c r="T477" s="244"/>
      <c r="U477" s="244"/>
      <c r="V477" s="247"/>
      <c r="W477" s="247"/>
    </row>
    <row r="478" spans="1:23" ht="12.75">
      <c r="A478" s="243"/>
      <c r="B478" s="243"/>
      <c r="C478" s="244"/>
      <c r="D478" s="243"/>
      <c r="E478" s="245"/>
      <c r="F478" s="246"/>
      <c r="G478" s="244"/>
      <c r="H478" s="244"/>
      <c r="I478" s="244"/>
      <c r="J478" s="244"/>
      <c r="K478" s="244"/>
      <c r="L478" s="244"/>
      <c r="M478" s="244"/>
      <c r="N478" s="244"/>
      <c r="O478" s="244"/>
      <c r="P478" s="244"/>
      <c r="Q478" s="244"/>
      <c r="R478" s="244"/>
      <c r="S478" s="244"/>
      <c r="T478" s="244"/>
      <c r="U478" s="244"/>
      <c r="V478" s="247"/>
      <c r="W478" s="247"/>
    </row>
    <row r="479" spans="1:23" ht="12.75">
      <c r="A479" s="243"/>
      <c r="B479" s="243"/>
      <c r="C479" s="244"/>
      <c r="D479" s="243"/>
      <c r="E479" s="245"/>
      <c r="F479" s="246"/>
      <c r="G479" s="244"/>
      <c r="H479" s="244"/>
      <c r="I479" s="244"/>
      <c r="J479" s="244"/>
      <c r="K479" s="244"/>
      <c r="L479" s="244"/>
      <c r="M479" s="244"/>
      <c r="N479" s="244"/>
      <c r="O479" s="244"/>
      <c r="P479" s="244"/>
      <c r="Q479" s="244"/>
      <c r="R479" s="244"/>
      <c r="S479" s="244"/>
      <c r="T479" s="244"/>
      <c r="U479" s="244"/>
      <c r="V479" s="247"/>
      <c r="W479" s="247"/>
    </row>
    <row r="480" spans="1:23" ht="12.75">
      <c r="A480" s="243"/>
      <c r="B480" s="243"/>
      <c r="C480" s="244"/>
      <c r="D480" s="243"/>
      <c r="E480" s="245"/>
      <c r="F480" s="246"/>
      <c r="G480" s="244"/>
      <c r="H480" s="244"/>
      <c r="I480" s="244"/>
      <c r="J480" s="244"/>
      <c r="K480" s="244"/>
      <c r="L480" s="244"/>
      <c r="M480" s="244"/>
      <c r="N480" s="244"/>
      <c r="O480" s="244"/>
      <c r="P480" s="244"/>
      <c r="Q480" s="244"/>
      <c r="R480" s="244"/>
      <c r="S480" s="244"/>
      <c r="T480" s="244"/>
      <c r="U480" s="244"/>
      <c r="V480" s="247"/>
      <c r="W480" s="247"/>
    </row>
    <row r="481" spans="1:23" ht="12.75">
      <c r="A481" s="243"/>
      <c r="B481" s="243"/>
      <c r="C481" s="244"/>
      <c r="D481" s="243"/>
      <c r="E481" s="245"/>
      <c r="F481" s="246"/>
      <c r="G481" s="244"/>
      <c r="H481" s="244"/>
      <c r="I481" s="244"/>
      <c r="J481" s="244"/>
      <c r="K481" s="244"/>
      <c r="L481" s="244"/>
      <c r="M481" s="244"/>
      <c r="N481" s="244"/>
      <c r="O481" s="244"/>
      <c r="P481" s="244"/>
      <c r="Q481" s="244"/>
      <c r="R481" s="244"/>
      <c r="S481" s="244"/>
      <c r="T481" s="244"/>
      <c r="U481" s="244"/>
      <c r="V481" s="247"/>
      <c r="W481" s="247"/>
    </row>
    <row r="482" spans="1:23" ht="12.75">
      <c r="A482" s="243"/>
      <c r="B482" s="243"/>
      <c r="C482" s="244"/>
      <c r="D482" s="243"/>
      <c r="E482" s="245"/>
      <c r="F482" s="246"/>
      <c r="G482" s="244"/>
      <c r="H482" s="244"/>
      <c r="I482" s="244"/>
      <c r="J482" s="244"/>
      <c r="K482" s="244"/>
      <c r="L482" s="244"/>
      <c r="M482" s="244"/>
      <c r="N482" s="244"/>
      <c r="O482" s="244"/>
      <c r="P482" s="244"/>
      <c r="Q482" s="244"/>
      <c r="R482" s="244"/>
      <c r="S482" s="244"/>
      <c r="T482" s="244"/>
      <c r="U482" s="244"/>
      <c r="V482" s="247"/>
      <c r="W482" s="247"/>
    </row>
    <row r="483" spans="1:23" ht="12.75">
      <c r="A483" s="243"/>
      <c r="B483" s="243"/>
      <c r="C483" s="244"/>
      <c r="D483" s="243"/>
      <c r="E483" s="245"/>
      <c r="F483" s="246"/>
      <c r="G483" s="244"/>
      <c r="H483" s="244"/>
      <c r="I483" s="244"/>
      <c r="J483" s="244"/>
      <c r="K483" s="244"/>
      <c r="L483" s="244"/>
      <c r="M483" s="244"/>
      <c r="N483" s="244"/>
      <c r="O483" s="244"/>
      <c r="P483" s="244"/>
      <c r="Q483" s="244"/>
      <c r="R483" s="244"/>
      <c r="S483" s="244"/>
      <c r="T483" s="244"/>
      <c r="U483" s="244"/>
      <c r="V483" s="247"/>
      <c r="W483" s="247"/>
    </row>
    <row r="484" spans="1:23" ht="12.75">
      <c r="A484" s="243"/>
      <c r="B484" s="243"/>
      <c r="C484" s="244"/>
      <c r="D484" s="243"/>
      <c r="E484" s="245"/>
      <c r="F484" s="246"/>
      <c r="G484" s="244"/>
      <c r="H484" s="244"/>
      <c r="I484" s="244"/>
      <c r="J484" s="244"/>
      <c r="K484" s="244"/>
      <c r="L484" s="244"/>
      <c r="M484" s="244"/>
      <c r="N484" s="244"/>
      <c r="O484" s="244"/>
      <c r="P484" s="244"/>
      <c r="Q484" s="244"/>
      <c r="R484" s="244"/>
      <c r="S484" s="244"/>
      <c r="T484" s="244"/>
      <c r="U484" s="244"/>
      <c r="V484" s="247"/>
      <c r="W484" s="247"/>
    </row>
    <row r="485" spans="1:23" ht="12.75">
      <c r="A485" s="243"/>
      <c r="B485" s="243"/>
      <c r="C485" s="244"/>
      <c r="D485" s="243"/>
      <c r="E485" s="245"/>
      <c r="F485" s="246"/>
      <c r="G485" s="244"/>
      <c r="H485" s="244"/>
      <c r="I485" s="244"/>
      <c r="J485" s="244"/>
      <c r="K485" s="244"/>
      <c r="L485" s="244"/>
      <c r="M485" s="244"/>
      <c r="N485" s="244"/>
      <c r="O485" s="244"/>
      <c r="P485" s="244"/>
      <c r="Q485" s="244"/>
      <c r="R485" s="244"/>
      <c r="S485" s="244"/>
      <c r="T485" s="244"/>
      <c r="U485" s="244"/>
      <c r="V485" s="247"/>
      <c r="W485" s="247"/>
    </row>
    <row r="486" spans="1:23" ht="12.75">
      <c r="A486" s="243"/>
      <c r="B486" s="243"/>
      <c r="C486" s="244"/>
      <c r="D486" s="243"/>
      <c r="E486" s="245"/>
      <c r="F486" s="246"/>
      <c r="G486" s="244"/>
      <c r="H486" s="244"/>
      <c r="I486" s="244"/>
      <c r="J486" s="244"/>
      <c r="K486" s="244"/>
      <c r="L486" s="244"/>
      <c r="M486" s="244"/>
      <c r="N486" s="244"/>
      <c r="O486" s="244"/>
      <c r="P486" s="244"/>
      <c r="Q486" s="244"/>
      <c r="R486" s="244"/>
      <c r="S486" s="244"/>
      <c r="T486" s="244"/>
      <c r="U486" s="244"/>
      <c r="V486" s="247"/>
      <c r="W486" s="247"/>
    </row>
    <row r="487" spans="1:23" ht="12.75">
      <c r="A487" s="243"/>
      <c r="B487" s="243"/>
      <c r="C487" s="244"/>
      <c r="D487" s="243"/>
      <c r="E487" s="245"/>
      <c r="F487" s="246"/>
      <c r="G487" s="244"/>
      <c r="H487" s="244"/>
      <c r="I487" s="244"/>
      <c r="J487" s="244"/>
      <c r="K487" s="244"/>
      <c r="L487" s="244"/>
      <c r="M487" s="244"/>
      <c r="N487" s="244"/>
      <c r="O487" s="244"/>
      <c r="P487" s="244"/>
      <c r="Q487" s="244"/>
      <c r="R487" s="244"/>
      <c r="S487" s="244"/>
      <c r="T487" s="244"/>
      <c r="U487" s="244"/>
      <c r="V487" s="247"/>
      <c r="W487" s="247"/>
    </row>
    <row r="488" spans="1:23" ht="12.75">
      <c r="A488" s="243"/>
      <c r="B488" s="243"/>
      <c r="C488" s="244"/>
      <c r="D488" s="243"/>
      <c r="E488" s="245"/>
      <c r="F488" s="246"/>
      <c r="G488" s="244"/>
      <c r="H488" s="244"/>
      <c r="I488" s="244"/>
      <c r="J488" s="244"/>
      <c r="K488" s="244"/>
      <c r="L488" s="244"/>
      <c r="M488" s="244"/>
      <c r="N488" s="244"/>
      <c r="O488" s="244"/>
      <c r="P488" s="244"/>
      <c r="Q488" s="244"/>
      <c r="R488" s="244"/>
      <c r="S488" s="244"/>
      <c r="T488" s="244"/>
      <c r="U488" s="244"/>
      <c r="V488" s="247"/>
      <c r="W488" s="247"/>
    </row>
    <row r="489" spans="1:23" ht="12.75">
      <c r="A489" s="243"/>
      <c r="B489" s="243"/>
      <c r="C489" s="244"/>
      <c r="D489" s="243"/>
      <c r="E489" s="245"/>
      <c r="F489" s="246"/>
      <c r="G489" s="244"/>
      <c r="H489" s="244"/>
      <c r="I489" s="244"/>
      <c r="J489" s="244"/>
      <c r="K489" s="244"/>
      <c r="L489" s="244"/>
      <c r="M489" s="244"/>
      <c r="N489" s="244"/>
      <c r="O489" s="244"/>
      <c r="P489" s="244"/>
      <c r="Q489" s="244"/>
      <c r="R489" s="244"/>
      <c r="S489" s="244"/>
      <c r="T489" s="244"/>
      <c r="U489" s="244"/>
      <c r="V489" s="247"/>
      <c r="W489" s="247"/>
    </row>
    <row r="490" spans="1:23" ht="12.75">
      <c r="A490" s="243"/>
      <c r="B490" s="243"/>
      <c r="C490" s="244"/>
      <c r="D490" s="243"/>
      <c r="E490" s="245"/>
      <c r="F490" s="246"/>
      <c r="G490" s="244"/>
      <c r="H490" s="244"/>
      <c r="I490" s="244"/>
      <c r="J490" s="244"/>
      <c r="K490" s="244"/>
      <c r="L490" s="244"/>
      <c r="M490" s="244"/>
      <c r="N490" s="244"/>
      <c r="O490" s="244"/>
      <c r="P490" s="244"/>
      <c r="Q490" s="244"/>
      <c r="R490" s="244"/>
      <c r="S490" s="244"/>
      <c r="T490" s="244"/>
      <c r="U490" s="244"/>
      <c r="V490" s="247"/>
      <c r="W490" s="247"/>
    </row>
    <row r="491" spans="1:23" ht="12.75">
      <c r="A491" s="243"/>
      <c r="B491" s="243"/>
      <c r="C491" s="244"/>
      <c r="D491" s="243"/>
      <c r="E491" s="245"/>
      <c r="F491" s="246"/>
      <c r="G491" s="244"/>
      <c r="H491" s="244"/>
      <c r="I491" s="244"/>
      <c r="J491" s="244"/>
      <c r="K491" s="244"/>
      <c r="L491" s="244"/>
      <c r="M491" s="244"/>
      <c r="N491" s="244"/>
      <c r="O491" s="244"/>
      <c r="P491" s="244"/>
      <c r="Q491" s="244"/>
      <c r="R491" s="244"/>
      <c r="S491" s="244"/>
      <c r="T491" s="244"/>
      <c r="U491" s="244"/>
      <c r="V491" s="247"/>
      <c r="W491" s="247"/>
    </row>
    <row r="492" spans="1:23" ht="12.75">
      <c r="A492" s="243"/>
      <c r="B492" s="243"/>
      <c r="C492" s="244"/>
      <c r="D492" s="243"/>
      <c r="E492" s="245"/>
      <c r="F492" s="246"/>
      <c r="G492" s="244"/>
      <c r="H492" s="244"/>
      <c r="I492" s="244"/>
      <c r="J492" s="244"/>
      <c r="K492" s="244"/>
      <c r="L492" s="244"/>
      <c r="M492" s="244"/>
      <c r="N492" s="244"/>
      <c r="O492" s="244"/>
      <c r="P492" s="244"/>
      <c r="Q492" s="244"/>
      <c r="R492" s="244"/>
      <c r="S492" s="244"/>
      <c r="T492" s="244"/>
      <c r="U492" s="244"/>
      <c r="V492" s="247"/>
      <c r="W492" s="247"/>
    </row>
    <row r="493" spans="1:23" ht="12.75">
      <c r="A493" s="243"/>
      <c r="B493" s="243"/>
      <c r="C493" s="244"/>
      <c r="D493" s="243"/>
      <c r="E493" s="245"/>
      <c r="F493" s="246"/>
      <c r="G493" s="244"/>
      <c r="H493" s="244"/>
      <c r="I493" s="244"/>
      <c r="J493" s="244"/>
      <c r="K493" s="244"/>
      <c r="L493" s="244"/>
      <c r="M493" s="244"/>
      <c r="N493" s="244"/>
      <c r="O493" s="244"/>
      <c r="P493" s="244"/>
      <c r="Q493" s="244"/>
      <c r="R493" s="244"/>
      <c r="S493" s="244"/>
      <c r="T493" s="244"/>
      <c r="U493" s="244"/>
      <c r="V493" s="247"/>
      <c r="W493" s="247"/>
    </row>
    <row r="494" spans="1:23" ht="12.75">
      <c r="A494" s="243"/>
      <c r="B494" s="243"/>
      <c r="C494" s="244"/>
      <c r="D494" s="243"/>
      <c r="E494" s="245"/>
      <c r="F494" s="246"/>
      <c r="G494" s="244"/>
      <c r="H494" s="244"/>
      <c r="I494" s="244"/>
      <c r="J494" s="244"/>
      <c r="K494" s="244"/>
      <c r="L494" s="244"/>
      <c r="M494" s="244"/>
      <c r="N494" s="244"/>
      <c r="O494" s="244"/>
      <c r="P494" s="244"/>
      <c r="Q494" s="244"/>
      <c r="R494" s="244"/>
      <c r="S494" s="244"/>
      <c r="T494" s="244"/>
      <c r="U494" s="244"/>
      <c r="V494" s="247"/>
      <c r="W494" s="247"/>
    </row>
    <row r="495" spans="1:23" ht="12.75">
      <c r="A495" s="243"/>
      <c r="B495" s="243"/>
      <c r="C495" s="244"/>
      <c r="D495" s="243"/>
      <c r="E495" s="245"/>
      <c r="F495" s="246"/>
      <c r="G495" s="244"/>
      <c r="H495" s="244"/>
      <c r="I495" s="244"/>
      <c r="J495" s="244"/>
      <c r="K495" s="244"/>
      <c r="L495" s="244"/>
      <c r="M495" s="244"/>
      <c r="N495" s="244"/>
      <c r="O495" s="244"/>
      <c r="P495" s="244"/>
      <c r="Q495" s="244"/>
      <c r="R495" s="244"/>
      <c r="S495" s="244"/>
      <c r="T495" s="244"/>
      <c r="U495" s="244"/>
      <c r="V495" s="247"/>
      <c r="W495" s="247"/>
    </row>
    <row r="496" spans="1:23" ht="12.75">
      <c r="A496" s="243"/>
      <c r="B496" s="243"/>
      <c r="C496" s="244"/>
      <c r="D496" s="243"/>
      <c r="E496" s="245"/>
      <c r="F496" s="246"/>
      <c r="G496" s="244"/>
      <c r="H496" s="244"/>
      <c r="I496" s="244"/>
      <c r="J496" s="244"/>
      <c r="K496" s="244"/>
      <c r="L496" s="244"/>
      <c r="M496" s="244"/>
      <c r="N496" s="244"/>
      <c r="O496" s="244"/>
      <c r="P496" s="244"/>
      <c r="Q496" s="244"/>
      <c r="R496" s="244"/>
      <c r="S496" s="244"/>
      <c r="T496" s="244"/>
      <c r="U496" s="244"/>
      <c r="V496" s="247"/>
      <c r="W496" s="247"/>
    </row>
    <row r="497" spans="1:23" ht="12.75">
      <c r="A497" s="243"/>
      <c r="B497" s="243"/>
      <c r="C497" s="244"/>
      <c r="D497" s="243"/>
      <c r="E497" s="245"/>
      <c r="F497" s="246"/>
      <c r="G497" s="244"/>
      <c r="H497" s="244"/>
      <c r="I497" s="244"/>
      <c r="J497" s="244"/>
      <c r="K497" s="244"/>
      <c r="L497" s="244"/>
      <c r="M497" s="244"/>
      <c r="N497" s="244"/>
      <c r="O497" s="244"/>
      <c r="P497" s="244"/>
      <c r="Q497" s="244"/>
      <c r="R497" s="244"/>
      <c r="S497" s="244"/>
      <c r="T497" s="244"/>
      <c r="U497" s="244"/>
      <c r="V497" s="247"/>
      <c r="W497" s="247"/>
    </row>
    <row r="498" spans="1:23" ht="12.75">
      <c r="A498" s="243"/>
      <c r="B498" s="243"/>
      <c r="C498" s="244"/>
      <c r="D498" s="243"/>
      <c r="E498" s="245"/>
      <c r="F498" s="246"/>
      <c r="G498" s="244"/>
      <c r="H498" s="244"/>
      <c r="I498" s="244"/>
      <c r="J498" s="244"/>
      <c r="K498" s="244"/>
      <c r="L498" s="244"/>
      <c r="M498" s="244"/>
      <c r="N498" s="244"/>
      <c r="O498" s="244"/>
      <c r="P498" s="244"/>
      <c r="Q498" s="244"/>
      <c r="R498" s="244"/>
      <c r="S498" s="244"/>
      <c r="T498" s="244"/>
      <c r="U498" s="244"/>
      <c r="V498" s="247"/>
      <c r="W498" s="247"/>
    </row>
    <row r="499" spans="1:23" ht="12.75">
      <c r="A499" s="243"/>
      <c r="B499" s="243"/>
      <c r="C499" s="244"/>
      <c r="D499" s="243"/>
      <c r="E499" s="245"/>
      <c r="F499" s="246"/>
      <c r="G499" s="244"/>
      <c r="H499" s="244"/>
      <c r="I499" s="244"/>
      <c r="J499" s="244"/>
      <c r="K499" s="244"/>
      <c r="L499" s="244"/>
      <c r="M499" s="244"/>
      <c r="N499" s="244"/>
      <c r="O499" s="244"/>
      <c r="P499" s="244"/>
      <c r="Q499" s="244"/>
      <c r="R499" s="244"/>
      <c r="S499" s="244"/>
      <c r="T499" s="244"/>
      <c r="U499" s="244"/>
      <c r="V499" s="247"/>
      <c r="W499" s="247"/>
    </row>
    <row r="500" spans="1:23" ht="12.75">
      <c r="A500" s="243"/>
      <c r="B500" s="243"/>
      <c r="C500" s="244"/>
      <c r="D500" s="243"/>
      <c r="E500" s="245"/>
      <c r="F500" s="246"/>
      <c r="G500" s="244"/>
      <c r="H500" s="244"/>
      <c r="I500" s="244"/>
      <c r="J500" s="244"/>
      <c r="K500" s="244"/>
      <c r="L500" s="244"/>
      <c r="M500" s="244"/>
      <c r="N500" s="244"/>
      <c r="O500" s="244"/>
      <c r="P500" s="244"/>
      <c r="Q500" s="244"/>
      <c r="R500" s="244"/>
      <c r="S500" s="244"/>
      <c r="T500" s="244"/>
      <c r="U500" s="244"/>
      <c r="V500" s="247"/>
      <c r="W500" s="247"/>
    </row>
    <row r="501" spans="1:23" ht="12.75">
      <c r="A501" s="243"/>
      <c r="B501" s="243"/>
      <c r="C501" s="244"/>
      <c r="D501" s="243"/>
      <c r="E501" s="245"/>
      <c r="F501" s="246"/>
      <c r="G501" s="244"/>
      <c r="H501" s="244"/>
      <c r="I501" s="244"/>
      <c r="J501" s="244"/>
      <c r="K501" s="244"/>
      <c r="L501" s="244"/>
      <c r="M501" s="244"/>
      <c r="N501" s="244"/>
      <c r="O501" s="244"/>
      <c r="P501" s="244"/>
      <c r="Q501" s="244"/>
      <c r="R501" s="244"/>
      <c r="S501" s="244"/>
      <c r="T501" s="244"/>
      <c r="U501" s="244"/>
      <c r="V501" s="247"/>
      <c r="W501" s="247"/>
    </row>
    <row r="502" spans="1:23" ht="12.75">
      <c r="A502" s="243"/>
      <c r="B502" s="243"/>
      <c r="C502" s="244"/>
      <c r="D502" s="243"/>
      <c r="E502" s="245"/>
      <c r="F502" s="246"/>
      <c r="G502" s="244"/>
      <c r="H502" s="244"/>
      <c r="I502" s="244"/>
      <c r="J502" s="244"/>
      <c r="K502" s="244"/>
      <c r="L502" s="244"/>
      <c r="M502" s="244"/>
      <c r="N502" s="244"/>
      <c r="O502" s="244"/>
      <c r="P502" s="244"/>
      <c r="Q502" s="244"/>
      <c r="R502" s="244"/>
      <c r="S502" s="244"/>
      <c r="T502" s="244"/>
      <c r="U502" s="244"/>
      <c r="V502" s="247"/>
      <c r="W502" s="247"/>
    </row>
    <row r="503" spans="1:23" ht="12.75">
      <c r="A503" s="243"/>
      <c r="B503" s="243"/>
      <c r="C503" s="244"/>
      <c r="D503" s="243"/>
      <c r="E503" s="245"/>
      <c r="F503" s="246"/>
      <c r="G503" s="244"/>
      <c r="H503" s="244"/>
      <c r="I503" s="244"/>
      <c r="J503" s="244"/>
      <c r="K503" s="244"/>
      <c r="L503" s="244"/>
      <c r="M503" s="244"/>
      <c r="N503" s="244"/>
      <c r="O503" s="244"/>
      <c r="P503" s="244"/>
      <c r="Q503" s="244"/>
      <c r="R503" s="244"/>
      <c r="S503" s="244"/>
      <c r="T503" s="244"/>
      <c r="U503" s="244"/>
      <c r="V503" s="247"/>
      <c r="W503" s="247"/>
    </row>
    <row r="504" spans="1:23" ht="12.75">
      <c r="A504" s="243"/>
      <c r="B504" s="243"/>
      <c r="C504" s="244"/>
      <c r="D504" s="243"/>
      <c r="E504" s="245"/>
      <c r="F504" s="246"/>
      <c r="G504" s="244"/>
      <c r="H504" s="244"/>
      <c r="I504" s="244"/>
      <c r="J504" s="244"/>
      <c r="K504" s="244"/>
      <c r="L504" s="244"/>
      <c r="M504" s="244"/>
      <c r="N504" s="244"/>
      <c r="O504" s="244"/>
      <c r="P504" s="244"/>
      <c r="Q504" s="244"/>
      <c r="R504" s="244"/>
      <c r="S504" s="244"/>
      <c r="T504" s="244"/>
      <c r="U504" s="244"/>
      <c r="V504" s="247"/>
      <c r="W504" s="247"/>
    </row>
    <row r="505" spans="1:23" ht="12.75">
      <c r="A505" s="243"/>
      <c r="B505" s="243"/>
      <c r="C505" s="244"/>
      <c r="D505" s="243"/>
      <c r="E505" s="245"/>
      <c r="F505" s="246"/>
      <c r="G505" s="244"/>
      <c r="H505" s="244"/>
      <c r="I505" s="244"/>
      <c r="J505" s="244"/>
      <c r="K505" s="244"/>
      <c r="L505" s="244"/>
      <c r="M505" s="244"/>
      <c r="N505" s="244"/>
      <c r="O505" s="244"/>
      <c r="P505" s="244"/>
      <c r="Q505" s="244"/>
      <c r="R505" s="244"/>
      <c r="S505" s="244"/>
      <c r="T505" s="244"/>
      <c r="U505" s="244"/>
      <c r="V505" s="247"/>
      <c r="W505" s="247"/>
    </row>
    <row r="506" spans="1:23" ht="12.75">
      <c r="A506" s="243"/>
      <c r="B506" s="243"/>
      <c r="C506" s="244"/>
      <c r="D506" s="243"/>
      <c r="E506" s="245"/>
      <c r="F506" s="246"/>
      <c r="G506" s="244"/>
      <c r="H506" s="244"/>
      <c r="I506" s="244"/>
      <c r="J506" s="244"/>
      <c r="K506" s="244"/>
      <c r="L506" s="244"/>
      <c r="M506" s="244"/>
      <c r="N506" s="244"/>
      <c r="O506" s="244"/>
      <c r="P506" s="244"/>
      <c r="Q506" s="244"/>
      <c r="R506" s="244"/>
      <c r="S506" s="244"/>
      <c r="T506" s="244"/>
      <c r="U506" s="244"/>
      <c r="V506" s="247"/>
      <c r="W506" s="247"/>
    </row>
    <row r="507" spans="1:23" ht="12.75">
      <c r="A507" s="243"/>
      <c r="B507" s="243"/>
      <c r="C507" s="244"/>
      <c r="D507" s="243"/>
      <c r="E507" s="245"/>
      <c r="F507" s="246"/>
      <c r="G507" s="244"/>
      <c r="H507" s="244"/>
      <c r="I507" s="244"/>
      <c r="J507" s="244"/>
      <c r="K507" s="244"/>
      <c r="L507" s="244"/>
      <c r="M507" s="244"/>
      <c r="N507" s="244"/>
      <c r="O507" s="244"/>
      <c r="P507" s="244"/>
      <c r="Q507" s="244"/>
      <c r="R507" s="244"/>
      <c r="S507" s="244"/>
      <c r="T507" s="244"/>
      <c r="U507" s="244"/>
      <c r="V507" s="247"/>
      <c r="W507" s="247"/>
    </row>
    <row r="508" spans="1:23" ht="12.75">
      <c r="A508" s="243"/>
      <c r="B508" s="243"/>
      <c r="C508" s="244"/>
      <c r="D508" s="243"/>
      <c r="E508" s="245"/>
      <c r="F508" s="246"/>
      <c r="G508" s="244"/>
      <c r="H508" s="244"/>
      <c r="I508" s="244"/>
      <c r="J508" s="244"/>
      <c r="K508" s="244"/>
      <c r="L508" s="244"/>
      <c r="M508" s="244"/>
      <c r="N508" s="244"/>
      <c r="O508" s="244"/>
      <c r="P508" s="244"/>
      <c r="Q508" s="244"/>
      <c r="R508" s="244"/>
      <c r="S508" s="244"/>
      <c r="T508" s="244"/>
      <c r="U508" s="244"/>
      <c r="V508" s="247"/>
      <c r="W508" s="247"/>
    </row>
    <row r="509" spans="1:23" ht="12.75">
      <c r="A509" s="243"/>
      <c r="B509" s="243"/>
      <c r="C509" s="244"/>
      <c r="D509" s="243"/>
      <c r="E509" s="245"/>
      <c r="F509" s="246"/>
      <c r="G509" s="244"/>
      <c r="H509" s="244"/>
      <c r="I509" s="244"/>
      <c r="J509" s="244"/>
      <c r="K509" s="244"/>
      <c r="L509" s="244"/>
      <c r="M509" s="244"/>
      <c r="N509" s="244"/>
      <c r="O509" s="244"/>
      <c r="P509" s="244"/>
      <c r="Q509" s="244"/>
      <c r="R509" s="244"/>
      <c r="S509" s="244"/>
      <c r="T509" s="244"/>
      <c r="U509" s="244"/>
      <c r="V509" s="247"/>
      <c r="W509" s="247"/>
    </row>
    <row r="510" spans="1:23" ht="12.75">
      <c r="A510" s="243"/>
      <c r="B510" s="243"/>
      <c r="C510" s="244"/>
      <c r="D510" s="243"/>
      <c r="E510" s="245"/>
      <c r="F510" s="246"/>
      <c r="G510" s="244"/>
      <c r="H510" s="244"/>
      <c r="I510" s="244"/>
      <c r="J510" s="244"/>
      <c r="K510" s="244"/>
      <c r="L510" s="244"/>
      <c r="M510" s="244"/>
      <c r="N510" s="244"/>
      <c r="O510" s="244"/>
      <c r="P510" s="244"/>
      <c r="Q510" s="244"/>
      <c r="R510" s="244"/>
      <c r="S510" s="244"/>
      <c r="T510" s="244"/>
      <c r="U510" s="244"/>
      <c r="V510" s="247"/>
      <c r="W510" s="247"/>
    </row>
    <row r="511" spans="1:23" ht="12.75">
      <c r="A511" s="243"/>
      <c r="B511" s="243"/>
      <c r="C511" s="244"/>
      <c r="D511" s="243"/>
      <c r="E511" s="245"/>
      <c r="F511" s="246"/>
      <c r="G511" s="244"/>
      <c r="H511" s="244"/>
      <c r="I511" s="244"/>
      <c r="J511" s="244"/>
      <c r="K511" s="244"/>
      <c r="L511" s="244"/>
      <c r="M511" s="244"/>
      <c r="N511" s="244"/>
      <c r="O511" s="244"/>
      <c r="P511" s="244"/>
      <c r="Q511" s="244"/>
      <c r="R511" s="244"/>
      <c r="S511" s="244"/>
      <c r="T511" s="244"/>
      <c r="U511" s="244"/>
      <c r="V511" s="247"/>
      <c r="W511" s="247"/>
    </row>
    <row r="512" spans="1:23" ht="12.75">
      <c r="A512" s="243"/>
      <c r="B512" s="243"/>
      <c r="C512" s="244"/>
      <c r="D512" s="243"/>
      <c r="E512" s="245"/>
      <c r="F512" s="246"/>
      <c r="G512" s="244"/>
      <c r="H512" s="244"/>
      <c r="I512" s="244"/>
      <c r="J512" s="244"/>
      <c r="K512" s="244"/>
      <c r="L512" s="244"/>
      <c r="M512" s="244"/>
      <c r="N512" s="244"/>
      <c r="O512" s="244"/>
      <c r="P512" s="244"/>
      <c r="Q512" s="244"/>
      <c r="R512" s="244"/>
      <c r="S512" s="244"/>
      <c r="T512" s="244"/>
      <c r="U512" s="244"/>
      <c r="V512" s="247"/>
      <c r="W512" s="247"/>
    </row>
    <row r="513" spans="1:23" ht="12.75">
      <c r="A513" s="243"/>
      <c r="B513" s="243"/>
      <c r="C513" s="244"/>
      <c r="D513" s="243"/>
      <c r="E513" s="245"/>
      <c r="F513" s="246"/>
      <c r="G513" s="244"/>
      <c r="H513" s="244"/>
      <c r="I513" s="244"/>
      <c r="J513" s="244"/>
      <c r="K513" s="244"/>
      <c r="L513" s="244"/>
      <c r="M513" s="244"/>
      <c r="N513" s="244"/>
      <c r="O513" s="244"/>
      <c r="P513" s="244"/>
      <c r="Q513" s="244"/>
      <c r="R513" s="244"/>
      <c r="S513" s="244"/>
      <c r="T513" s="244"/>
      <c r="U513" s="244"/>
      <c r="V513" s="247"/>
      <c r="W513" s="247"/>
    </row>
    <row r="514" spans="1:23" ht="12.75">
      <c r="A514" s="243"/>
      <c r="B514" s="243"/>
      <c r="C514" s="244"/>
      <c r="D514" s="243"/>
      <c r="E514" s="245"/>
      <c r="F514" s="246"/>
      <c r="G514" s="244"/>
      <c r="H514" s="244"/>
      <c r="I514" s="244"/>
      <c r="J514" s="244"/>
      <c r="K514" s="244"/>
      <c r="L514" s="244"/>
      <c r="M514" s="244"/>
      <c r="N514" s="244"/>
      <c r="O514" s="244"/>
      <c r="P514" s="244"/>
      <c r="Q514" s="244"/>
      <c r="R514" s="244"/>
      <c r="S514" s="244"/>
      <c r="T514" s="244"/>
      <c r="U514" s="244"/>
      <c r="V514" s="247"/>
      <c r="W514" s="247"/>
    </row>
    <row r="515" spans="1:23" ht="12.75">
      <c r="A515" s="243"/>
      <c r="B515" s="243"/>
      <c r="C515" s="244"/>
      <c r="D515" s="243"/>
      <c r="E515" s="245"/>
      <c r="F515" s="246"/>
      <c r="G515" s="244"/>
      <c r="H515" s="244"/>
      <c r="I515" s="244"/>
      <c r="J515" s="244"/>
      <c r="K515" s="244"/>
      <c r="L515" s="244"/>
      <c r="M515" s="244"/>
      <c r="N515" s="244"/>
      <c r="O515" s="244"/>
      <c r="P515" s="244"/>
      <c r="Q515" s="244"/>
      <c r="R515" s="244"/>
      <c r="S515" s="244"/>
      <c r="T515" s="244"/>
      <c r="U515" s="244"/>
      <c r="V515" s="247"/>
      <c r="W515" s="247"/>
    </row>
    <row r="516" spans="1:23" ht="12.75">
      <c r="A516" s="243"/>
      <c r="B516" s="243"/>
      <c r="C516" s="244"/>
      <c r="D516" s="243"/>
      <c r="E516" s="245"/>
      <c r="F516" s="246"/>
      <c r="G516" s="244"/>
      <c r="H516" s="244"/>
      <c r="I516" s="244"/>
      <c r="J516" s="244"/>
      <c r="K516" s="244"/>
      <c r="L516" s="244"/>
      <c r="M516" s="244"/>
      <c r="N516" s="244"/>
      <c r="O516" s="244"/>
      <c r="P516" s="244"/>
      <c r="Q516" s="244"/>
      <c r="R516" s="244"/>
      <c r="S516" s="244"/>
      <c r="T516" s="244"/>
      <c r="U516" s="244"/>
      <c r="V516" s="247"/>
      <c r="W516" s="247"/>
    </row>
    <row r="517" spans="1:23" ht="12.75">
      <c r="A517" s="243"/>
      <c r="B517" s="243"/>
      <c r="C517" s="244"/>
      <c r="D517" s="243"/>
      <c r="E517" s="245"/>
      <c r="F517" s="246"/>
      <c r="G517" s="244"/>
      <c r="H517" s="244"/>
      <c r="I517" s="244"/>
      <c r="J517" s="244"/>
      <c r="K517" s="244"/>
      <c r="L517" s="244"/>
      <c r="M517" s="244"/>
      <c r="N517" s="244"/>
      <c r="O517" s="244"/>
      <c r="P517" s="244"/>
      <c r="Q517" s="244"/>
      <c r="R517" s="244"/>
      <c r="S517" s="244"/>
      <c r="T517" s="244"/>
      <c r="U517" s="244"/>
      <c r="V517" s="247"/>
      <c r="W517" s="247"/>
    </row>
    <row r="518" spans="1:23" ht="12.75">
      <c r="A518" s="243"/>
      <c r="B518" s="243"/>
      <c r="C518" s="244"/>
      <c r="D518" s="243"/>
      <c r="E518" s="245"/>
      <c r="F518" s="246"/>
      <c r="G518" s="244"/>
      <c r="H518" s="244"/>
      <c r="I518" s="244"/>
      <c r="J518" s="244"/>
      <c r="K518" s="244"/>
      <c r="L518" s="244"/>
      <c r="M518" s="244"/>
      <c r="N518" s="244"/>
      <c r="O518" s="244"/>
      <c r="P518" s="244"/>
      <c r="Q518" s="244"/>
      <c r="R518" s="244"/>
      <c r="S518" s="244"/>
      <c r="T518" s="244"/>
      <c r="U518" s="244"/>
      <c r="V518" s="247"/>
      <c r="W518" s="247"/>
    </row>
    <row r="519" spans="1:23" ht="12.75">
      <c r="A519" s="243"/>
      <c r="B519" s="243"/>
      <c r="C519" s="244"/>
      <c r="D519" s="243"/>
      <c r="E519" s="245"/>
      <c r="F519" s="246"/>
      <c r="G519" s="244"/>
      <c r="H519" s="244"/>
      <c r="I519" s="244"/>
      <c r="J519" s="244"/>
      <c r="K519" s="244"/>
      <c r="L519" s="244"/>
      <c r="M519" s="244"/>
      <c r="N519" s="244"/>
      <c r="O519" s="244"/>
      <c r="P519" s="244"/>
      <c r="Q519" s="244"/>
      <c r="R519" s="244"/>
      <c r="S519" s="244"/>
      <c r="T519" s="244"/>
      <c r="U519" s="244"/>
      <c r="V519" s="247"/>
      <c r="W519" s="247"/>
    </row>
    <row r="520" spans="1:23" ht="12.75">
      <c r="A520" s="243"/>
      <c r="B520" s="243"/>
      <c r="C520" s="244"/>
      <c r="D520" s="243"/>
      <c r="E520" s="245"/>
      <c r="F520" s="246"/>
      <c r="G520" s="244"/>
      <c r="H520" s="244"/>
      <c r="I520" s="244"/>
      <c r="J520" s="244"/>
      <c r="K520" s="244"/>
      <c r="L520" s="244"/>
      <c r="M520" s="244"/>
      <c r="N520" s="244"/>
      <c r="O520" s="244"/>
      <c r="P520" s="244"/>
      <c r="Q520" s="244"/>
      <c r="R520" s="244"/>
      <c r="S520" s="244"/>
      <c r="T520" s="244"/>
      <c r="U520" s="244"/>
      <c r="V520" s="247"/>
      <c r="W520" s="247"/>
    </row>
    <row r="521" spans="1:23" ht="12.75">
      <c r="A521" s="243"/>
      <c r="B521" s="243"/>
      <c r="C521" s="244"/>
      <c r="D521" s="243"/>
      <c r="E521" s="245"/>
      <c r="F521" s="246"/>
      <c r="G521" s="244"/>
      <c r="H521" s="244"/>
      <c r="I521" s="244"/>
      <c r="J521" s="244"/>
      <c r="K521" s="244"/>
      <c r="L521" s="244"/>
      <c r="M521" s="244"/>
      <c r="N521" s="244"/>
      <c r="O521" s="244"/>
      <c r="P521" s="244"/>
      <c r="Q521" s="244"/>
      <c r="R521" s="244"/>
      <c r="S521" s="244"/>
      <c r="T521" s="244"/>
      <c r="U521" s="244"/>
      <c r="V521" s="247"/>
      <c r="W521" s="247"/>
    </row>
    <row r="522" spans="1:23" ht="12.75">
      <c r="A522" s="243"/>
      <c r="B522" s="243"/>
      <c r="C522" s="244"/>
      <c r="D522" s="243"/>
      <c r="E522" s="245"/>
      <c r="F522" s="246"/>
      <c r="G522" s="244"/>
      <c r="H522" s="244"/>
      <c r="I522" s="244"/>
      <c r="J522" s="244"/>
      <c r="K522" s="244"/>
      <c r="L522" s="244"/>
      <c r="M522" s="244"/>
      <c r="N522" s="244"/>
      <c r="O522" s="244"/>
      <c r="P522" s="244"/>
      <c r="Q522" s="244"/>
      <c r="R522" s="244"/>
      <c r="S522" s="244"/>
      <c r="T522" s="244"/>
      <c r="U522" s="244"/>
      <c r="V522" s="247"/>
      <c r="W522" s="247"/>
    </row>
    <row r="523" spans="1:23" ht="12.75">
      <c r="A523" s="243"/>
      <c r="B523" s="243"/>
      <c r="C523" s="244"/>
      <c r="D523" s="243"/>
      <c r="E523" s="245"/>
      <c r="F523" s="246"/>
      <c r="G523" s="244"/>
      <c r="H523" s="244"/>
      <c r="I523" s="244"/>
      <c r="J523" s="244"/>
      <c r="K523" s="244"/>
      <c r="L523" s="244"/>
      <c r="M523" s="244"/>
      <c r="N523" s="244"/>
      <c r="O523" s="244"/>
      <c r="P523" s="244"/>
      <c r="Q523" s="244"/>
      <c r="R523" s="244"/>
      <c r="S523" s="244"/>
      <c r="T523" s="244"/>
      <c r="U523" s="244"/>
      <c r="V523" s="247"/>
      <c r="W523" s="247"/>
    </row>
    <row r="524" spans="1:23" ht="12.75">
      <c r="A524" s="243"/>
      <c r="B524" s="243"/>
      <c r="C524" s="244"/>
      <c r="D524" s="243"/>
      <c r="E524" s="245"/>
      <c r="F524" s="246"/>
      <c r="G524" s="244"/>
      <c r="H524" s="244"/>
      <c r="I524" s="244"/>
      <c r="J524" s="244"/>
      <c r="K524" s="244"/>
      <c r="L524" s="244"/>
      <c r="M524" s="244"/>
      <c r="N524" s="244"/>
      <c r="O524" s="244"/>
      <c r="P524" s="244"/>
      <c r="Q524" s="244"/>
      <c r="R524" s="244"/>
      <c r="S524" s="244"/>
      <c r="T524" s="244"/>
      <c r="U524" s="244"/>
      <c r="V524" s="247"/>
      <c r="W524" s="247"/>
    </row>
  </sheetData>
  <autoFilter ref="A2:U20" xr:uid="{00000000-0009-0000-0000-000012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outlinePr summaryBelow="0" summaryRight="0"/>
    <pageSetUpPr fitToPage="1"/>
  </sheetPr>
  <dimension ref="A1:AM444"/>
  <sheetViews>
    <sheetView zoomScale="120" zoomScaleNormal="120" workbookViewId="0">
      <pane xSplit="6" ySplit="1" topLeftCell="G413" activePane="bottomRight" state="frozen"/>
      <selection pane="topRight" activeCell="G1" sqref="G1"/>
      <selection pane="bottomLeft" activeCell="A2" sqref="A2"/>
      <selection pane="bottomRight" activeCell="C424" sqref="A1:Z444"/>
    </sheetView>
  </sheetViews>
  <sheetFormatPr defaultColWidth="14.42578125" defaultRowHeight="15.75" customHeight="1"/>
  <cols>
    <col min="1" max="1" width="19" style="431" customWidth="1"/>
    <col min="2" max="2" width="12" style="431" customWidth="1"/>
    <col min="3" max="3" width="10.85546875" style="431" customWidth="1"/>
    <col min="4" max="4" width="15.140625" style="431" customWidth="1"/>
    <col min="5" max="5" width="6.85546875" style="431" customWidth="1"/>
    <col min="6" max="6" width="57.42578125" style="431" customWidth="1"/>
    <col min="7" max="7" width="10.5703125" style="431" customWidth="1"/>
    <col min="8" max="9" width="10.85546875" style="431" customWidth="1"/>
    <col min="10" max="10" width="21.28515625" style="431" customWidth="1"/>
    <col min="11" max="11" width="12.7109375" style="431" customWidth="1"/>
    <col min="12" max="12" width="21" style="431" customWidth="1"/>
    <col min="13" max="13" width="42" style="431" customWidth="1"/>
    <col min="14" max="19" width="13.28515625" style="431" customWidth="1"/>
    <col min="20" max="21" width="8.5703125" style="431" customWidth="1"/>
    <col min="22" max="22" width="10" style="431" customWidth="1"/>
    <col min="23" max="23" width="12.5703125" style="431" customWidth="1"/>
    <col min="24" max="25" width="10.42578125" style="431" customWidth="1"/>
    <col min="26" max="39" width="13.28515625" style="431" customWidth="1"/>
    <col min="40" max="16384" width="14.42578125" style="431"/>
  </cols>
  <sheetData>
    <row r="1" spans="1:39" ht="36.75" customHeight="1">
      <c r="A1" s="5" t="s">
        <v>0</v>
      </c>
      <c r="B1" s="8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3" t="s">
        <v>6</v>
      </c>
      <c r="H1" s="3" t="s">
        <v>7</v>
      </c>
      <c r="I1" s="3" t="s">
        <v>6</v>
      </c>
      <c r="J1" s="3" t="s">
        <v>8</v>
      </c>
      <c r="K1" s="11" t="s">
        <v>9</v>
      </c>
      <c r="L1" s="14" t="s">
        <v>10</v>
      </c>
      <c r="M1" s="16" t="s">
        <v>11</v>
      </c>
      <c r="N1" s="18" t="s">
        <v>12</v>
      </c>
      <c r="O1" s="18" t="s">
        <v>13</v>
      </c>
      <c r="P1" s="18" t="s">
        <v>14</v>
      </c>
      <c r="Q1" s="18" t="s">
        <v>15</v>
      </c>
      <c r="R1" s="18" t="s">
        <v>16</v>
      </c>
      <c r="S1" s="18" t="s">
        <v>17</v>
      </c>
      <c r="T1" s="19" t="s">
        <v>18</v>
      </c>
      <c r="U1" s="19" t="s">
        <v>19</v>
      </c>
      <c r="V1" s="23" t="s">
        <v>20</v>
      </c>
      <c r="W1" s="25" t="s">
        <v>20</v>
      </c>
      <c r="X1" s="33" t="s">
        <v>21</v>
      </c>
      <c r="Y1" s="33" t="s">
        <v>22</v>
      </c>
      <c r="Z1" s="33" t="s">
        <v>23</v>
      </c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5"/>
      <c r="AL1" s="425"/>
      <c r="AM1" s="425"/>
    </row>
    <row r="2" spans="1:39">
      <c r="A2" s="35"/>
      <c r="B2" s="37">
        <v>2300</v>
      </c>
      <c r="C2" s="367"/>
      <c r="D2" s="498" t="s">
        <v>29</v>
      </c>
      <c r="E2" s="621"/>
      <c r="F2" s="621"/>
      <c r="G2" s="41"/>
      <c r="H2" s="42"/>
      <c r="I2" s="41"/>
      <c r="J2" s="43"/>
      <c r="K2" s="38"/>
      <c r="L2" s="38"/>
      <c r="M2" s="41"/>
      <c r="N2" s="35"/>
      <c r="O2" s="37"/>
      <c r="P2" s="38"/>
      <c r="Q2" s="492"/>
      <c r="R2" s="41"/>
      <c r="S2" s="43"/>
      <c r="T2" s="41"/>
      <c r="U2" s="41"/>
      <c r="V2" s="37" t="s">
        <v>2134</v>
      </c>
      <c r="W2" s="37">
        <v>18</v>
      </c>
      <c r="X2" s="41"/>
      <c r="Y2" s="41"/>
      <c r="Z2" s="41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427"/>
      <c r="AM2" s="427"/>
    </row>
    <row r="3" spans="1:39">
      <c r="A3" s="50"/>
      <c r="B3" s="52">
        <v>2320</v>
      </c>
      <c r="C3" s="53" t="s">
        <v>37</v>
      </c>
      <c r="D3" s="55" t="s">
        <v>38</v>
      </c>
      <c r="E3" s="53">
        <v>59</v>
      </c>
      <c r="F3" s="56" t="s">
        <v>56</v>
      </c>
      <c r="G3" s="57" t="s">
        <v>28</v>
      </c>
      <c r="H3" s="58">
        <v>3900000</v>
      </c>
      <c r="I3" s="59"/>
      <c r="J3" s="60" t="s">
        <v>2356</v>
      </c>
      <c r="K3" s="61"/>
      <c r="L3" s="62"/>
      <c r="M3" s="64"/>
      <c r="N3" s="65"/>
      <c r="O3" s="65"/>
      <c r="P3" s="65"/>
      <c r="Q3" s="65"/>
      <c r="R3" s="65"/>
      <c r="S3" s="65"/>
      <c r="T3" s="67"/>
      <c r="U3" s="67">
        <v>2557</v>
      </c>
      <c r="V3" s="68" t="s">
        <v>2134</v>
      </c>
      <c r="W3" s="69" t="e">
        <v>#REF!</v>
      </c>
      <c r="X3" s="70"/>
      <c r="Y3" s="70"/>
      <c r="Z3" s="70"/>
      <c r="AA3" s="429"/>
      <c r="AB3" s="429"/>
      <c r="AC3" s="429"/>
      <c r="AD3" s="429"/>
      <c r="AE3" s="429"/>
      <c r="AF3" s="429"/>
      <c r="AG3" s="429"/>
      <c r="AH3" s="429"/>
      <c r="AI3" s="429"/>
      <c r="AJ3" s="429"/>
      <c r="AK3" s="429"/>
      <c r="AL3" s="429"/>
      <c r="AM3" s="429"/>
    </row>
    <row r="4" spans="1:39">
      <c r="A4" s="50"/>
      <c r="B4" s="52">
        <v>2320</v>
      </c>
      <c r="C4" s="53" t="s">
        <v>37</v>
      </c>
      <c r="D4" s="55" t="s">
        <v>54</v>
      </c>
      <c r="E4" s="53">
        <v>60</v>
      </c>
      <c r="F4" s="56" t="s">
        <v>55</v>
      </c>
      <c r="G4" s="57" t="s">
        <v>28</v>
      </c>
      <c r="H4" s="58">
        <v>8100000</v>
      </c>
      <c r="I4" s="59"/>
      <c r="J4" s="60" t="s">
        <v>2356</v>
      </c>
      <c r="K4" s="61"/>
      <c r="L4" s="62"/>
      <c r="M4" s="64"/>
      <c r="N4" s="65"/>
      <c r="O4" s="65"/>
      <c r="P4" s="65"/>
      <c r="Q4" s="65"/>
      <c r="R4" s="65"/>
      <c r="S4" s="65"/>
      <c r="T4" s="67"/>
      <c r="U4" s="67">
        <v>2558</v>
      </c>
      <c r="V4" s="68" t="s">
        <v>2134</v>
      </c>
      <c r="W4" s="69" t="e">
        <v>#REF!</v>
      </c>
      <c r="X4" s="70"/>
      <c r="Y4" s="70"/>
      <c r="Z4" s="70"/>
      <c r="AA4" s="429"/>
      <c r="AB4" s="429"/>
      <c r="AC4" s="429"/>
      <c r="AD4" s="429"/>
      <c r="AE4" s="429"/>
      <c r="AF4" s="429"/>
      <c r="AG4" s="429"/>
      <c r="AH4" s="429"/>
      <c r="AI4" s="429"/>
      <c r="AJ4" s="429"/>
      <c r="AK4" s="429"/>
      <c r="AL4" s="429"/>
      <c r="AM4" s="429"/>
    </row>
    <row r="5" spans="1:39">
      <c r="A5" s="50"/>
      <c r="B5" s="52">
        <v>2320</v>
      </c>
      <c r="C5" s="53" t="s">
        <v>37</v>
      </c>
      <c r="D5" s="55" t="s">
        <v>59</v>
      </c>
      <c r="E5" s="53">
        <v>59</v>
      </c>
      <c r="F5" s="56" t="s">
        <v>60</v>
      </c>
      <c r="G5" s="57" t="s">
        <v>28</v>
      </c>
      <c r="H5" s="58">
        <v>3210000</v>
      </c>
      <c r="I5" s="59"/>
      <c r="J5" s="60" t="s">
        <v>2356</v>
      </c>
      <c r="K5" s="61"/>
      <c r="L5" s="62"/>
      <c r="M5" s="64"/>
      <c r="N5" s="65"/>
      <c r="O5" s="65"/>
      <c r="P5" s="65"/>
      <c r="Q5" s="65"/>
      <c r="R5" s="65"/>
      <c r="S5" s="65"/>
      <c r="T5" s="67"/>
      <c r="U5" s="67">
        <v>2557</v>
      </c>
      <c r="V5" s="68" t="s">
        <v>2134</v>
      </c>
      <c r="W5" s="69" t="e">
        <v>#REF!</v>
      </c>
      <c r="X5" s="70"/>
      <c r="Y5" s="70"/>
      <c r="Z5" s="70"/>
      <c r="AA5" s="429"/>
      <c r="AB5" s="429"/>
      <c r="AC5" s="429"/>
      <c r="AD5" s="429"/>
      <c r="AE5" s="429"/>
      <c r="AF5" s="429"/>
      <c r="AG5" s="429"/>
      <c r="AH5" s="429"/>
      <c r="AI5" s="429"/>
      <c r="AJ5" s="429"/>
      <c r="AK5" s="429"/>
      <c r="AL5" s="429"/>
      <c r="AM5" s="429"/>
    </row>
    <row r="6" spans="1:39">
      <c r="A6" s="50"/>
      <c r="B6" s="52">
        <v>2320</v>
      </c>
      <c r="C6" s="53" t="s">
        <v>63</v>
      </c>
      <c r="D6" s="55" t="s">
        <v>64</v>
      </c>
      <c r="E6" s="53">
        <v>62</v>
      </c>
      <c r="F6" s="56" t="s">
        <v>69</v>
      </c>
      <c r="G6" s="57" t="s">
        <v>28</v>
      </c>
      <c r="H6" s="58">
        <v>2100000</v>
      </c>
      <c r="I6" s="59"/>
      <c r="J6" s="60" t="s">
        <v>2356</v>
      </c>
      <c r="K6" s="61"/>
      <c r="L6" s="62"/>
      <c r="M6" s="64"/>
      <c r="N6" s="65"/>
      <c r="O6" s="65"/>
      <c r="P6" s="65"/>
      <c r="Q6" s="65"/>
      <c r="R6" s="65"/>
      <c r="S6" s="65"/>
      <c r="T6" s="67"/>
      <c r="U6" s="67"/>
      <c r="V6" s="68" t="s">
        <v>2134</v>
      </c>
      <c r="W6" s="69" t="e">
        <v>#REF!</v>
      </c>
      <c r="X6" s="70"/>
      <c r="Y6" s="70"/>
      <c r="Z6" s="70"/>
      <c r="AA6" s="429"/>
      <c r="AB6" s="429"/>
      <c r="AC6" s="429"/>
      <c r="AD6" s="429"/>
      <c r="AE6" s="429"/>
      <c r="AF6" s="429"/>
      <c r="AG6" s="429"/>
      <c r="AH6" s="429"/>
      <c r="AI6" s="429"/>
      <c r="AJ6" s="429"/>
      <c r="AK6" s="429"/>
      <c r="AL6" s="429"/>
      <c r="AM6" s="429"/>
    </row>
    <row r="7" spans="1:39">
      <c r="A7" s="50"/>
      <c r="B7" s="333">
        <v>4630</v>
      </c>
      <c r="C7" s="334" t="s">
        <v>63</v>
      </c>
      <c r="D7" s="335" t="s">
        <v>964</v>
      </c>
      <c r="E7" s="334">
        <v>56</v>
      </c>
      <c r="F7" s="336" t="s">
        <v>4110</v>
      </c>
      <c r="G7" s="337" t="s">
        <v>28</v>
      </c>
      <c r="H7" s="338"/>
      <c r="I7" s="339"/>
      <c r="J7" s="340" t="s">
        <v>2418</v>
      </c>
      <c r="K7" s="622" t="s">
        <v>2418</v>
      </c>
      <c r="L7" s="62"/>
      <c r="M7" s="64"/>
      <c r="N7" s="65"/>
      <c r="O7" s="65"/>
      <c r="P7" s="65"/>
      <c r="Q7" s="65"/>
      <c r="R7" s="65"/>
      <c r="S7" s="65"/>
      <c r="T7" s="67"/>
      <c r="U7" s="67"/>
      <c r="V7" s="68"/>
      <c r="W7" s="69"/>
      <c r="X7" s="70"/>
      <c r="Y7" s="70"/>
      <c r="Z7" s="70"/>
      <c r="AA7" s="429"/>
      <c r="AB7" s="429"/>
      <c r="AC7" s="429"/>
      <c r="AD7" s="429"/>
      <c r="AE7" s="429"/>
      <c r="AF7" s="429"/>
      <c r="AG7" s="429"/>
      <c r="AH7" s="429"/>
      <c r="AI7" s="429"/>
      <c r="AJ7" s="429"/>
      <c r="AK7" s="429"/>
      <c r="AL7" s="429"/>
      <c r="AM7" s="429"/>
    </row>
    <row r="8" spans="1:39">
      <c r="A8" s="50"/>
      <c r="B8" s="52">
        <v>2320</v>
      </c>
      <c r="C8" s="53" t="s">
        <v>63</v>
      </c>
      <c r="D8" s="55" t="s">
        <v>81</v>
      </c>
      <c r="E8" s="53">
        <v>61</v>
      </c>
      <c r="F8" s="56" t="s">
        <v>82</v>
      </c>
      <c r="G8" s="57" t="s">
        <v>28</v>
      </c>
      <c r="H8" s="58">
        <v>12000000</v>
      </c>
      <c r="I8" s="59"/>
      <c r="J8" s="60" t="s">
        <v>2356</v>
      </c>
      <c r="K8" s="61"/>
      <c r="L8" s="62"/>
      <c r="M8" s="64"/>
      <c r="N8" s="65"/>
      <c r="O8" s="65"/>
      <c r="P8" s="65"/>
      <c r="Q8" s="65"/>
      <c r="R8" s="65"/>
      <c r="S8" s="65"/>
      <c r="T8" s="67"/>
      <c r="U8" s="67"/>
      <c r="V8" s="68" t="s">
        <v>2134</v>
      </c>
      <c r="W8" s="69" t="e">
        <v>#REF!</v>
      </c>
      <c r="X8" s="70"/>
      <c r="Y8" s="70"/>
      <c r="Z8" s="70"/>
      <c r="AA8" s="429"/>
      <c r="AB8" s="429"/>
      <c r="AC8" s="429"/>
      <c r="AD8" s="429"/>
      <c r="AE8" s="429"/>
      <c r="AF8" s="429"/>
      <c r="AG8" s="429"/>
      <c r="AH8" s="429"/>
      <c r="AI8" s="429"/>
      <c r="AJ8" s="429"/>
      <c r="AK8" s="429"/>
      <c r="AL8" s="429"/>
      <c r="AM8" s="429"/>
    </row>
    <row r="9" spans="1:39" ht="31.5">
      <c r="A9" s="50"/>
      <c r="B9" s="52">
        <v>2320</v>
      </c>
      <c r="C9" s="53" t="s">
        <v>63</v>
      </c>
      <c r="D9" s="55" t="s">
        <v>89</v>
      </c>
      <c r="E9" s="53">
        <v>56</v>
      </c>
      <c r="F9" s="56" t="s">
        <v>90</v>
      </c>
      <c r="G9" s="57" t="s">
        <v>28</v>
      </c>
      <c r="H9" s="58">
        <v>2800000</v>
      </c>
      <c r="I9" s="59"/>
      <c r="J9" s="60" t="s">
        <v>2356</v>
      </c>
      <c r="K9" s="61"/>
      <c r="L9" s="62"/>
      <c r="M9" s="64"/>
      <c r="N9" s="65"/>
      <c r="O9" s="65"/>
      <c r="P9" s="65"/>
      <c r="Q9" s="65"/>
      <c r="R9" s="65"/>
      <c r="S9" s="65"/>
      <c r="T9" s="67">
        <v>20</v>
      </c>
      <c r="U9" s="67">
        <v>2574</v>
      </c>
      <c r="V9" s="68" t="s">
        <v>2134</v>
      </c>
      <c r="W9" s="69" t="e">
        <v>#REF!</v>
      </c>
      <c r="X9" s="70"/>
      <c r="Y9" s="70"/>
      <c r="Z9" s="70"/>
      <c r="AA9" s="429"/>
      <c r="AB9" s="429"/>
      <c r="AC9" s="429"/>
      <c r="AD9" s="429"/>
      <c r="AE9" s="429"/>
      <c r="AF9" s="429"/>
      <c r="AG9" s="429"/>
      <c r="AH9" s="429"/>
      <c r="AI9" s="429"/>
      <c r="AJ9" s="429"/>
      <c r="AK9" s="429"/>
      <c r="AL9" s="429"/>
      <c r="AM9" s="429"/>
    </row>
    <row r="10" spans="1:39" ht="31.5">
      <c r="A10" s="50"/>
      <c r="B10" s="52">
        <v>2320</v>
      </c>
      <c r="C10" s="53" t="s">
        <v>63</v>
      </c>
      <c r="D10" s="55" t="s">
        <v>95</v>
      </c>
      <c r="E10" s="53">
        <v>56</v>
      </c>
      <c r="F10" s="56" t="s">
        <v>96</v>
      </c>
      <c r="G10" s="57" t="s">
        <v>28</v>
      </c>
      <c r="H10" s="58">
        <v>2900000</v>
      </c>
      <c r="I10" s="59"/>
      <c r="J10" s="60" t="s">
        <v>2356</v>
      </c>
      <c r="K10" s="61"/>
      <c r="L10" s="62"/>
      <c r="M10" s="64"/>
      <c r="N10" s="65"/>
      <c r="O10" s="65"/>
      <c r="P10" s="65"/>
      <c r="Q10" s="65"/>
      <c r="R10" s="65"/>
      <c r="S10" s="65"/>
      <c r="T10" s="67">
        <v>20</v>
      </c>
      <c r="U10" s="67">
        <v>2574</v>
      </c>
      <c r="V10" s="68" t="s">
        <v>2134</v>
      </c>
      <c r="W10" s="69" t="e">
        <v>#REF!</v>
      </c>
      <c r="X10" s="70"/>
      <c r="Y10" s="70"/>
      <c r="Z10" s="70"/>
      <c r="AA10" s="429"/>
      <c r="AB10" s="429"/>
      <c r="AC10" s="429"/>
      <c r="AD10" s="429"/>
      <c r="AE10" s="429"/>
      <c r="AF10" s="429"/>
      <c r="AG10" s="429"/>
      <c r="AH10" s="429"/>
      <c r="AI10" s="429"/>
      <c r="AJ10" s="429"/>
      <c r="AK10" s="429"/>
      <c r="AL10" s="429"/>
      <c r="AM10" s="429"/>
    </row>
    <row r="11" spans="1:39">
      <c r="A11" s="50"/>
      <c r="B11" s="342">
        <v>2320</v>
      </c>
      <c r="C11" s="343" t="s">
        <v>63</v>
      </c>
      <c r="D11" s="344" t="s">
        <v>99</v>
      </c>
      <c r="E11" s="343">
        <v>56</v>
      </c>
      <c r="F11" s="345" t="s">
        <v>100</v>
      </c>
      <c r="G11" s="346" t="s">
        <v>28</v>
      </c>
      <c r="H11" s="347">
        <v>6500000</v>
      </c>
      <c r="I11" s="348"/>
      <c r="J11" s="349" t="s">
        <v>2356</v>
      </c>
      <c r="K11" s="61"/>
      <c r="L11" s="62"/>
      <c r="M11" s="64"/>
      <c r="N11" s="65"/>
      <c r="O11" s="65"/>
      <c r="P11" s="65"/>
      <c r="Q11" s="65"/>
      <c r="R11" s="65"/>
      <c r="S11" s="65"/>
      <c r="T11" s="67">
        <v>20</v>
      </c>
      <c r="U11" s="67">
        <v>2574</v>
      </c>
      <c r="V11" s="68" t="s">
        <v>2134</v>
      </c>
      <c r="W11" s="69" t="e">
        <v>#REF!</v>
      </c>
      <c r="X11" s="70"/>
      <c r="Y11" s="70"/>
      <c r="Z11" s="70"/>
      <c r="AA11" s="429"/>
      <c r="AB11" s="429"/>
      <c r="AC11" s="429"/>
      <c r="AD11" s="429"/>
      <c r="AE11" s="429"/>
      <c r="AF11" s="429"/>
      <c r="AG11" s="429"/>
      <c r="AH11" s="429"/>
      <c r="AI11" s="429"/>
      <c r="AJ11" s="429"/>
      <c r="AK11" s="429"/>
      <c r="AL11" s="429"/>
      <c r="AM11" s="429"/>
    </row>
    <row r="12" spans="1:39">
      <c r="A12" s="50"/>
      <c r="B12" s="342">
        <v>2320</v>
      </c>
      <c r="C12" s="343" t="s">
        <v>63</v>
      </c>
      <c r="D12" s="344" t="s">
        <v>119</v>
      </c>
      <c r="E12" s="343">
        <v>62</v>
      </c>
      <c r="F12" s="345" t="s">
        <v>120</v>
      </c>
      <c r="G12" s="346" t="s">
        <v>28</v>
      </c>
      <c r="H12" s="347">
        <v>950000</v>
      </c>
      <c r="I12" s="348"/>
      <c r="J12" s="349" t="s">
        <v>2356</v>
      </c>
      <c r="K12" s="61"/>
      <c r="L12" s="62"/>
      <c r="M12" s="64"/>
      <c r="N12" s="65"/>
      <c r="O12" s="65"/>
      <c r="P12" s="65"/>
      <c r="Q12" s="65"/>
      <c r="R12" s="65"/>
      <c r="S12" s="65"/>
      <c r="T12" s="67"/>
      <c r="U12" s="67"/>
      <c r="V12" s="68"/>
      <c r="W12" s="69"/>
      <c r="X12" s="70"/>
      <c r="Y12" s="70"/>
      <c r="Z12" s="70"/>
      <c r="AA12" s="429"/>
      <c r="AB12" s="429"/>
      <c r="AC12" s="429"/>
      <c r="AD12" s="429"/>
      <c r="AE12" s="429"/>
      <c r="AF12" s="429"/>
      <c r="AG12" s="429"/>
      <c r="AH12" s="429"/>
      <c r="AI12" s="429"/>
      <c r="AJ12" s="429"/>
      <c r="AK12" s="429"/>
      <c r="AL12" s="429"/>
      <c r="AM12" s="429"/>
    </row>
    <row r="13" spans="1:39">
      <c r="A13" s="50"/>
      <c r="B13" s="342">
        <v>2320</v>
      </c>
      <c r="C13" s="343" t="s">
        <v>63</v>
      </c>
      <c r="D13" s="344" t="s">
        <v>135</v>
      </c>
      <c r="E13" s="343">
        <v>57</v>
      </c>
      <c r="F13" s="345" t="s">
        <v>4111</v>
      </c>
      <c r="G13" s="346" t="s">
        <v>28</v>
      </c>
      <c r="H13" s="347">
        <v>982000</v>
      </c>
      <c r="I13" s="348"/>
      <c r="J13" s="349" t="s">
        <v>2356</v>
      </c>
      <c r="K13" s="61"/>
      <c r="L13" s="62"/>
      <c r="M13" s="64"/>
      <c r="N13" s="65"/>
      <c r="O13" s="65"/>
      <c r="P13" s="65"/>
      <c r="Q13" s="65"/>
      <c r="R13" s="65"/>
      <c r="S13" s="65"/>
      <c r="T13" s="67"/>
      <c r="U13" s="67"/>
      <c r="V13" s="68"/>
      <c r="W13" s="69"/>
      <c r="X13" s="70"/>
      <c r="Y13" s="70"/>
      <c r="Z13" s="70"/>
      <c r="AA13" s="429"/>
      <c r="AB13" s="429"/>
      <c r="AC13" s="429"/>
      <c r="AD13" s="429"/>
      <c r="AE13" s="429"/>
      <c r="AF13" s="429"/>
      <c r="AG13" s="429"/>
      <c r="AH13" s="429"/>
      <c r="AI13" s="429"/>
      <c r="AJ13" s="429"/>
      <c r="AK13" s="429"/>
      <c r="AL13" s="429"/>
      <c r="AM13" s="429"/>
    </row>
    <row r="14" spans="1:39">
      <c r="A14" s="50"/>
      <c r="B14" s="342">
        <v>2320</v>
      </c>
      <c r="C14" s="343" t="s">
        <v>63</v>
      </c>
      <c r="D14" s="344" t="s">
        <v>109</v>
      </c>
      <c r="E14" s="343">
        <v>54</v>
      </c>
      <c r="F14" s="345" t="s">
        <v>110</v>
      </c>
      <c r="G14" s="346" t="s">
        <v>28</v>
      </c>
      <c r="H14" s="347">
        <v>1100000</v>
      </c>
      <c r="I14" s="348"/>
      <c r="J14" s="349" t="s">
        <v>2356</v>
      </c>
      <c r="K14" s="61"/>
      <c r="L14" s="62"/>
      <c r="M14" s="64"/>
      <c r="N14" s="65"/>
      <c r="O14" s="65"/>
      <c r="P14" s="65"/>
      <c r="Q14" s="65"/>
      <c r="R14" s="65"/>
      <c r="S14" s="65"/>
      <c r="T14" s="67"/>
      <c r="U14" s="67"/>
      <c r="V14" s="68"/>
      <c r="W14" s="69"/>
      <c r="X14" s="70"/>
      <c r="Y14" s="70"/>
      <c r="Z14" s="70"/>
      <c r="AA14" s="429"/>
      <c r="AB14" s="429"/>
      <c r="AC14" s="429"/>
      <c r="AD14" s="429"/>
      <c r="AE14" s="429"/>
      <c r="AF14" s="429"/>
      <c r="AG14" s="429"/>
      <c r="AH14" s="429"/>
      <c r="AI14" s="429"/>
      <c r="AJ14" s="429"/>
      <c r="AK14" s="429"/>
      <c r="AL14" s="429"/>
      <c r="AM14" s="429"/>
    </row>
    <row r="15" spans="1:39">
      <c r="A15" s="50"/>
      <c r="B15" s="342">
        <v>2320</v>
      </c>
      <c r="C15" s="343" t="s">
        <v>63</v>
      </c>
      <c r="D15" s="344" t="s">
        <v>115</v>
      </c>
      <c r="E15" s="343">
        <v>58</v>
      </c>
      <c r="F15" s="345" t="s">
        <v>116</v>
      </c>
      <c r="G15" s="346" t="s">
        <v>28</v>
      </c>
      <c r="H15" s="347">
        <v>1980000</v>
      </c>
      <c r="I15" s="348"/>
      <c r="J15" s="349" t="s">
        <v>2356</v>
      </c>
      <c r="K15" s="61"/>
      <c r="L15" s="62"/>
      <c r="M15" s="64"/>
      <c r="N15" s="65"/>
      <c r="O15" s="65"/>
      <c r="P15" s="65"/>
      <c r="Q15" s="65"/>
      <c r="R15" s="65"/>
      <c r="S15" s="65"/>
      <c r="T15" s="67">
        <v>20</v>
      </c>
      <c r="U15" s="67">
        <v>2576</v>
      </c>
      <c r="V15" s="68" t="s">
        <v>2134</v>
      </c>
      <c r="W15" s="69" t="e">
        <v>#REF!</v>
      </c>
      <c r="X15" s="70"/>
      <c r="Y15" s="70"/>
      <c r="Z15" s="70"/>
      <c r="AA15" s="429"/>
      <c r="AB15" s="429"/>
      <c r="AC15" s="429"/>
      <c r="AD15" s="429"/>
      <c r="AE15" s="429"/>
      <c r="AF15" s="429"/>
      <c r="AG15" s="429"/>
      <c r="AH15" s="429"/>
      <c r="AI15" s="429"/>
      <c r="AJ15" s="429"/>
      <c r="AK15" s="429"/>
      <c r="AL15" s="429"/>
      <c r="AM15" s="429"/>
    </row>
    <row r="16" spans="1:39">
      <c r="A16" s="50"/>
      <c r="B16" s="342">
        <v>2320</v>
      </c>
      <c r="C16" s="343" t="s">
        <v>63</v>
      </c>
      <c r="D16" s="344" t="s">
        <v>105</v>
      </c>
      <c r="E16" s="343">
        <v>58</v>
      </c>
      <c r="F16" s="345" t="s">
        <v>106</v>
      </c>
      <c r="G16" s="346" t="s">
        <v>28</v>
      </c>
      <c r="H16" s="347">
        <v>4800000</v>
      </c>
      <c r="I16" s="348"/>
      <c r="J16" s="349" t="s">
        <v>2356</v>
      </c>
      <c r="K16" s="61"/>
      <c r="L16" s="62"/>
      <c r="M16" s="64"/>
      <c r="N16" s="65"/>
      <c r="O16" s="65"/>
      <c r="P16" s="65"/>
      <c r="Q16" s="65"/>
      <c r="R16" s="65"/>
      <c r="S16" s="65"/>
      <c r="T16" s="67">
        <v>20</v>
      </c>
      <c r="U16" s="67">
        <v>2572</v>
      </c>
      <c r="V16" s="68" t="s">
        <v>2134</v>
      </c>
      <c r="W16" s="69" t="e">
        <v>#REF!</v>
      </c>
      <c r="X16" s="70"/>
      <c r="Y16" s="70"/>
      <c r="Z16" s="70"/>
      <c r="AA16" s="429"/>
      <c r="AB16" s="429"/>
      <c r="AC16" s="429"/>
      <c r="AD16" s="429"/>
      <c r="AE16" s="429"/>
      <c r="AF16" s="429"/>
      <c r="AG16" s="429"/>
      <c r="AH16" s="429"/>
      <c r="AI16" s="429"/>
      <c r="AJ16" s="429"/>
      <c r="AK16" s="429"/>
      <c r="AL16" s="429"/>
      <c r="AM16" s="429"/>
    </row>
    <row r="17" spans="1:39">
      <c r="A17" s="50"/>
      <c r="B17" s="342">
        <v>2320</v>
      </c>
      <c r="C17" s="343" t="s">
        <v>63</v>
      </c>
      <c r="D17" s="344" t="s">
        <v>131</v>
      </c>
      <c r="E17" s="343">
        <v>55</v>
      </c>
      <c r="F17" s="345" t="s">
        <v>132</v>
      </c>
      <c r="G17" s="346" t="s">
        <v>28</v>
      </c>
      <c r="H17" s="347">
        <v>2100000</v>
      </c>
      <c r="I17" s="348"/>
      <c r="J17" s="349" t="s">
        <v>2356</v>
      </c>
      <c r="K17" s="61"/>
      <c r="L17" s="62"/>
      <c r="M17" s="64"/>
      <c r="N17" s="65"/>
      <c r="O17" s="65"/>
      <c r="P17" s="65"/>
      <c r="Q17" s="65"/>
      <c r="R17" s="65"/>
      <c r="S17" s="65"/>
      <c r="T17" s="67"/>
      <c r="U17" s="67"/>
      <c r="V17" s="68" t="s">
        <v>2134</v>
      </c>
      <c r="W17" s="69" t="e">
        <v>#REF!</v>
      </c>
      <c r="X17" s="70"/>
      <c r="Y17" s="70"/>
      <c r="Z17" s="70"/>
      <c r="AA17" s="429"/>
      <c r="AB17" s="429"/>
      <c r="AC17" s="429"/>
      <c r="AD17" s="429"/>
      <c r="AE17" s="429"/>
      <c r="AF17" s="429"/>
      <c r="AG17" s="429"/>
      <c r="AH17" s="429"/>
      <c r="AI17" s="429"/>
      <c r="AJ17" s="429"/>
      <c r="AK17" s="429"/>
      <c r="AL17" s="429"/>
      <c r="AM17" s="429"/>
    </row>
    <row r="18" spans="1:39">
      <c r="A18" s="50"/>
      <c r="B18" s="342">
        <v>2320</v>
      </c>
      <c r="C18" s="343" t="s">
        <v>63</v>
      </c>
      <c r="D18" s="344" t="s">
        <v>125</v>
      </c>
      <c r="E18" s="343">
        <v>58</v>
      </c>
      <c r="F18" s="345" t="s">
        <v>126</v>
      </c>
      <c r="G18" s="346" t="s">
        <v>28</v>
      </c>
      <c r="H18" s="347">
        <v>2400000</v>
      </c>
      <c r="I18" s="348"/>
      <c r="J18" s="349" t="s">
        <v>2356</v>
      </c>
      <c r="K18" s="61"/>
      <c r="L18" s="62"/>
      <c r="M18" s="64"/>
      <c r="N18" s="65"/>
      <c r="O18" s="65"/>
      <c r="P18" s="65"/>
      <c r="Q18" s="65"/>
      <c r="R18" s="65"/>
      <c r="S18" s="65"/>
      <c r="T18" s="67">
        <v>10</v>
      </c>
      <c r="U18" s="67">
        <v>2566</v>
      </c>
      <c r="V18" s="68" t="s">
        <v>2134</v>
      </c>
      <c r="W18" s="69" t="e">
        <v>#REF!</v>
      </c>
      <c r="X18" s="70"/>
      <c r="Y18" s="70"/>
      <c r="Z18" s="70"/>
      <c r="AA18" s="429"/>
      <c r="AB18" s="429"/>
      <c r="AC18" s="429"/>
      <c r="AD18" s="429"/>
      <c r="AE18" s="429"/>
      <c r="AF18" s="429"/>
      <c r="AG18" s="429"/>
      <c r="AH18" s="429"/>
      <c r="AI18" s="429"/>
      <c r="AJ18" s="429"/>
      <c r="AK18" s="429"/>
      <c r="AL18" s="429"/>
      <c r="AM18" s="429"/>
    </row>
    <row r="19" spans="1:39">
      <c r="A19" s="50"/>
      <c r="B19" s="52">
        <v>2320</v>
      </c>
      <c r="C19" s="53" t="s">
        <v>63</v>
      </c>
      <c r="D19" s="55" t="s">
        <v>144</v>
      </c>
      <c r="E19" s="53">
        <v>62</v>
      </c>
      <c r="F19" s="56" t="s">
        <v>145</v>
      </c>
      <c r="G19" s="57" t="s">
        <v>28</v>
      </c>
      <c r="H19" s="58">
        <v>950000</v>
      </c>
      <c r="I19" s="59"/>
      <c r="J19" s="60" t="s">
        <v>2356</v>
      </c>
      <c r="K19" s="61"/>
      <c r="L19" s="62"/>
      <c r="M19" s="64"/>
      <c r="N19" s="65"/>
      <c r="O19" s="65"/>
      <c r="P19" s="65"/>
      <c r="Q19" s="65"/>
      <c r="R19" s="65"/>
      <c r="S19" s="65"/>
      <c r="T19" s="67"/>
      <c r="U19" s="67"/>
      <c r="V19" s="68" t="s">
        <v>2134</v>
      </c>
      <c r="W19" s="69" t="e">
        <v>#REF!</v>
      </c>
      <c r="X19" s="70"/>
      <c r="Y19" s="70"/>
      <c r="Z19" s="70"/>
      <c r="AA19" s="429"/>
      <c r="AB19" s="429"/>
      <c r="AC19" s="429"/>
      <c r="AD19" s="429"/>
      <c r="AE19" s="429"/>
      <c r="AF19" s="429"/>
      <c r="AG19" s="429"/>
      <c r="AH19" s="429"/>
      <c r="AI19" s="429"/>
      <c r="AJ19" s="429"/>
      <c r="AK19" s="429"/>
      <c r="AL19" s="429"/>
      <c r="AM19" s="429"/>
    </row>
    <row r="20" spans="1:39">
      <c r="A20" s="50"/>
      <c r="B20" s="52">
        <v>2320</v>
      </c>
      <c r="C20" s="53" t="s">
        <v>63</v>
      </c>
      <c r="D20" s="55" t="s">
        <v>162</v>
      </c>
      <c r="E20" s="53">
        <v>56</v>
      </c>
      <c r="F20" s="56" t="s">
        <v>163</v>
      </c>
      <c r="G20" s="57" t="s">
        <v>28</v>
      </c>
      <c r="H20" s="58">
        <v>45000000</v>
      </c>
      <c r="I20" s="59"/>
      <c r="J20" s="60" t="s">
        <v>2356</v>
      </c>
      <c r="K20" s="61"/>
      <c r="L20" s="62"/>
      <c r="M20" s="64"/>
      <c r="N20" s="65"/>
      <c r="O20" s="65"/>
      <c r="P20" s="65"/>
      <c r="Q20" s="65"/>
      <c r="R20" s="65"/>
      <c r="S20" s="65"/>
      <c r="T20" s="67"/>
      <c r="U20" s="67"/>
      <c r="V20" s="68"/>
      <c r="W20" s="69"/>
      <c r="X20" s="70"/>
      <c r="Y20" s="70"/>
      <c r="Z20" s="70"/>
      <c r="AA20" s="429"/>
      <c r="AB20" s="429"/>
      <c r="AC20" s="429"/>
      <c r="AD20" s="429"/>
      <c r="AE20" s="429"/>
      <c r="AF20" s="429"/>
      <c r="AG20" s="429"/>
      <c r="AH20" s="429"/>
      <c r="AI20" s="429"/>
      <c r="AJ20" s="429"/>
      <c r="AK20" s="429"/>
      <c r="AL20" s="429"/>
      <c r="AM20" s="429"/>
    </row>
    <row r="21" spans="1:39">
      <c r="A21" s="50"/>
      <c r="B21" s="52">
        <v>2320</v>
      </c>
      <c r="C21" s="53" t="s">
        <v>63</v>
      </c>
      <c r="D21" s="55" t="s">
        <v>153</v>
      </c>
      <c r="E21" s="53">
        <v>56</v>
      </c>
      <c r="F21" s="56" t="s">
        <v>154</v>
      </c>
      <c r="G21" s="57" t="s">
        <v>28</v>
      </c>
      <c r="H21" s="58">
        <v>70000000</v>
      </c>
      <c r="I21" s="59"/>
      <c r="J21" s="60" t="s">
        <v>2356</v>
      </c>
      <c r="K21" s="61"/>
      <c r="L21" s="62"/>
      <c r="M21" s="64"/>
      <c r="N21" s="65"/>
      <c r="O21" s="65"/>
      <c r="P21" s="65"/>
      <c r="Q21" s="65"/>
      <c r="R21" s="65"/>
      <c r="S21" s="65"/>
      <c r="T21" s="67">
        <v>20</v>
      </c>
      <c r="U21" s="67">
        <v>2574</v>
      </c>
      <c r="V21" s="68" t="s">
        <v>2134</v>
      </c>
      <c r="W21" s="69" t="e">
        <v>#REF!</v>
      </c>
      <c r="X21" s="70"/>
      <c r="Y21" s="70"/>
      <c r="Z21" s="70"/>
      <c r="AA21" s="429"/>
      <c r="AB21" s="429"/>
      <c r="AC21" s="429"/>
      <c r="AD21" s="429"/>
      <c r="AE21" s="429"/>
      <c r="AF21" s="429"/>
      <c r="AG21" s="429"/>
      <c r="AH21" s="429"/>
      <c r="AI21" s="429"/>
      <c r="AJ21" s="429"/>
      <c r="AK21" s="429"/>
      <c r="AL21" s="429"/>
      <c r="AM21" s="429"/>
    </row>
    <row r="22" spans="1:39">
      <c r="A22" s="35"/>
      <c r="B22" s="37">
        <v>2400</v>
      </c>
      <c r="C22" s="38"/>
      <c r="D22" s="498" t="s">
        <v>4077</v>
      </c>
      <c r="E22" s="621"/>
      <c r="F22" s="621"/>
      <c r="G22" s="41"/>
      <c r="H22" s="42"/>
      <c r="I22" s="41"/>
      <c r="J22" s="43"/>
      <c r="K22" s="38"/>
      <c r="L22" s="38"/>
      <c r="M22" s="41"/>
      <c r="N22" s="35"/>
      <c r="O22" s="37"/>
      <c r="P22" s="38"/>
      <c r="Q22" s="492"/>
      <c r="R22" s="41"/>
      <c r="S22" s="43"/>
      <c r="T22" s="41"/>
      <c r="U22" s="41"/>
      <c r="V22" s="37" t="s">
        <v>2136</v>
      </c>
      <c r="W22" s="37">
        <v>2</v>
      </c>
      <c r="X22" s="41"/>
      <c r="Y22" s="41"/>
      <c r="Z22" s="41"/>
      <c r="AA22" s="427"/>
      <c r="AB22" s="427"/>
      <c r="AC22" s="427"/>
      <c r="AD22" s="427"/>
      <c r="AE22" s="427"/>
      <c r="AF22" s="427"/>
      <c r="AG22" s="427"/>
      <c r="AH22" s="427"/>
      <c r="AI22" s="427"/>
      <c r="AJ22" s="427"/>
      <c r="AK22" s="427"/>
      <c r="AL22" s="427"/>
      <c r="AM22" s="427"/>
    </row>
    <row r="23" spans="1:39">
      <c r="A23" s="50"/>
      <c r="B23" s="52">
        <v>2420</v>
      </c>
      <c r="C23" s="53" t="s">
        <v>63</v>
      </c>
      <c r="D23" s="55" t="s">
        <v>172</v>
      </c>
      <c r="E23" s="53">
        <v>56</v>
      </c>
      <c r="F23" s="56" t="s">
        <v>173</v>
      </c>
      <c r="G23" s="57" t="s">
        <v>28</v>
      </c>
      <c r="H23" s="58">
        <v>740000</v>
      </c>
      <c r="I23" s="59"/>
      <c r="J23" s="60" t="s">
        <v>2358</v>
      </c>
      <c r="K23" s="623" t="s">
        <v>2358</v>
      </c>
      <c r="L23" s="62"/>
      <c r="M23" s="64"/>
      <c r="N23" s="65"/>
      <c r="O23" s="65"/>
      <c r="P23" s="65"/>
      <c r="Q23" s="65"/>
      <c r="R23" s="65"/>
      <c r="S23" s="65"/>
      <c r="T23" s="67">
        <v>20</v>
      </c>
      <c r="U23" s="67">
        <v>2574</v>
      </c>
      <c r="V23" s="68" t="s">
        <v>2136</v>
      </c>
      <c r="W23" s="69" t="e">
        <v>#REF!</v>
      </c>
      <c r="X23" s="70"/>
      <c r="Y23" s="70"/>
      <c r="Z23" s="70"/>
      <c r="AA23" s="429"/>
      <c r="AB23" s="429"/>
      <c r="AC23" s="429"/>
      <c r="AD23" s="429"/>
      <c r="AE23" s="429"/>
      <c r="AF23" s="429"/>
      <c r="AG23" s="429"/>
      <c r="AH23" s="429"/>
      <c r="AI23" s="429"/>
      <c r="AJ23" s="429"/>
      <c r="AK23" s="429"/>
      <c r="AL23" s="429"/>
      <c r="AM23" s="429"/>
    </row>
    <row r="24" spans="1:39" ht="31.5">
      <c r="A24" s="50"/>
      <c r="B24" s="52">
        <v>2420</v>
      </c>
      <c r="C24" s="53" t="s">
        <v>63</v>
      </c>
      <c r="D24" s="55" t="s">
        <v>181</v>
      </c>
      <c r="E24" s="53">
        <v>58</v>
      </c>
      <c r="F24" s="56" t="s">
        <v>182</v>
      </c>
      <c r="G24" s="57" t="s">
        <v>28</v>
      </c>
      <c r="H24" s="58">
        <v>1400000</v>
      </c>
      <c r="I24" s="59"/>
      <c r="J24" s="60" t="s">
        <v>2358</v>
      </c>
      <c r="K24" s="61"/>
      <c r="L24" s="62"/>
      <c r="M24" s="64"/>
      <c r="N24" s="65"/>
      <c r="O24" s="65"/>
      <c r="P24" s="65"/>
      <c r="Q24" s="65"/>
      <c r="R24" s="65"/>
      <c r="S24" s="65"/>
      <c r="T24" s="67">
        <v>20</v>
      </c>
      <c r="U24" s="67">
        <v>2576</v>
      </c>
      <c r="V24" s="68" t="s">
        <v>2136</v>
      </c>
      <c r="W24" s="69" t="e">
        <v>#REF!</v>
      </c>
      <c r="X24" s="70"/>
      <c r="Y24" s="70"/>
      <c r="Z24" s="70"/>
      <c r="AA24" s="429"/>
      <c r="AB24" s="429"/>
      <c r="AC24" s="429"/>
      <c r="AD24" s="429"/>
      <c r="AE24" s="429"/>
      <c r="AF24" s="429"/>
      <c r="AG24" s="429"/>
      <c r="AH24" s="429"/>
      <c r="AI24" s="429"/>
      <c r="AJ24" s="429"/>
      <c r="AK24" s="429"/>
      <c r="AL24" s="429"/>
      <c r="AM24" s="429"/>
    </row>
    <row r="25" spans="1:39">
      <c r="A25" s="35"/>
      <c r="B25" s="37">
        <v>2700</v>
      </c>
      <c r="C25" s="38"/>
      <c r="D25" s="498" t="s">
        <v>4078</v>
      </c>
      <c r="E25" s="621"/>
      <c r="F25" s="621"/>
      <c r="G25" s="41"/>
      <c r="H25" s="42"/>
      <c r="I25" s="41"/>
      <c r="J25" s="43"/>
      <c r="K25" s="38"/>
      <c r="L25" s="38"/>
      <c r="M25" s="41"/>
      <c r="N25" s="35"/>
      <c r="O25" s="37"/>
      <c r="P25" s="38"/>
      <c r="Q25" s="492"/>
      <c r="R25" s="41"/>
      <c r="S25" s="43"/>
      <c r="T25" s="41"/>
      <c r="U25" s="41"/>
      <c r="V25" s="37" t="s">
        <v>2143</v>
      </c>
      <c r="W25" s="37">
        <v>0</v>
      </c>
      <c r="X25" s="41"/>
      <c r="Y25" s="41"/>
      <c r="Z25" s="41"/>
      <c r="AA25" s="427"/>
      <c r="AB25" s="427"/>
      <c r="AC25" s="427"/>
      <c r="AD25" s="427"/>
      <c r="AE25" s="427"/>
      <c r="AF25" s="427"/>
      <c r="AG25" s="427"/>
      <c r="AH25" s="427"/>
      <c r="AI25" s="427"/>
      <c r="AJ25" s="427"/>
      <c r="AK25" s="427"/>
      <c r="AL25" s="427"/>
      <c r="AM25" s="427"/>
    </row>
    <row r="26" spans="1:39">
      <c r="A26" s="35"/>
      <c r="B26" s="37">
        <v>3200</v>
      </c>
      <c r="C26" s="38"/>
      <c r="D26" s="498" t="s">
        <v>4079</v>
      </c>
      <c r="E26" s="621"/>
      <c r="F26" s="621"/>
      <c r="G26" s="41"/>
      <c r="H26" s="42"/>
      <c r="I26" s="41"/>
      <c r="J26" s="43"/>
      <c r="K26" s="38"/>
      <c r="L26" s="38"/>
      <c r="M26" s="41"/>
      <c r="N26" s="35"/>
      <c r="O26" s="37"/>
      <c r="P26" s="38"/>
      <c r="Q26" s="492"/>
      <c r="R26" s="41"/>
      <c r="S26" s="43"/>
      <c r="T26" s="41"/>
      <c r="U26" s="41"/>
      <c r="V26" s="37" t="s">
        <v>2154</v>
      </c>
      <c r="W26" s="37">
        <v>3</v>
      </c>
      <c r="X26" s="41"/>
      <c r="Y26" s="41"/>
      <c r="Z26" s="41"/>
      <c r="AA26" s="427"/>
      <c r="AB26" s="427"/>
      <c r="AC26" s="427"/>
      <c r="AD26" s="427"/>
      <c r="AE26" s="427"/>
      <c r="AF26" s="427"/>
      <c r="AG26" s="427"/>
      <c r="AH26" s="427"/>
      <c r="AI26" s="427"/>
      <c r="AJ26" s="427"/>
      <c r="AK26" s="427"/>
      <c r="AL26" s="427"/>
      <c r="AM26" s="427"/>
    </row>
    <row r="27" spans="1:39">
      <c r="A27" s="50"/>
      <c r="B27" s="52">
        <v>3220</v>
      </c>
      <c r="C27" s="53" t="s">
        <v>191</v>
      </c>
      <c r="D27" s="55" t="s">
        <v>192</v>
      </c>
      <c r="E27" s="53">
        <v>57</v>
      </c>
      <c r="F27" s="56" t="s">
        <v>193</v>
      </c>
      <c r="G27" s="57" t="s">
        <v>78</v>
      </c>
      <c r="H27" s="58">
        <v>75000</v>
      </c>
      <c r="I27" s="59"/>
      <c r="J27" s="60" t="s">
        <v>2367</v>
      </c>
      <c r="K27" s="623" t="s">
        <v>2367</v>
      </c>
      <c r="L27" s="62"/>
      <c r="M27" s="64"/>
      <c r="N27" s="65"/>
      <c r="O27" s="65"/>
      <c r="P27" s="65"/>
      <c r="Q27" s="65"/>
      <c r="R27" s="65"/>
      <c r="S27" s="65"/>
      <c r="T27" s="67">
        <v>15</v>
      </c>
      <c r="U27" s="67">
        <v>2570</v>
      </c>
      <c r="V27" s="68" t="s">
        <v>2154</v>
      </c>
      <c r="W27" s="69" t="e">
        <v>#REF!</v>
      </c>
      <c r="X27" s="70"/>
      <c r="Y27" s="70"/>
      <c r="Z27" s="70"/>
      <c r="AA27" s="429"/>
      <c r="AB27" s="429"/>
      <c r="AC27" s="429"/>
      <c r="AD27" s="429"/>
      <c r="AE27" s="429"/>
      <c r="AF27" s="429"/>
      <c r="AG27" s="429"/>
      <c r="AH27" s="429"/>
      <c r="AI27" s="429"/>
      <c r="AJ27" s="429"/>
      <c r="AK27" s="429"/>
      <c r="AL27" s="429"/>
      <c r="AM27" s="429"/>
    </row>
    <row r="28" spans="1:39">
      <c r="A28" s="50"/>
      <c r="B28" s="52">
        <v>3220</v>
      </c>
      <c r="C28" s="53" t="s">
        <v>191</v>
      </c>
      <c r="D28" s="55" t="s">
        <v>202</v>
      </c>
      <c r="E28" s="53">
        <v>58</v>
      </c>
      <c r="F28" s="56" t="s">
        <v>203</v>
      </c>
      <c r="G28" s="57" t="s">
        <v>78</v>
      </c>
      <c r="H28" s="58">
        <v>14500</v>
      </c>
      <c r="I28" s="59"/>
      <c r="J28" s="60" t="s">
        <v>2367</v>
      </c>
      <c r="K28" s="623" t="s">
        <v>2367</v>
      </c>
      <c r="L28" s="62"/>
      <c r="M28" s="64"/>
      <c r="N28" s="65"/>
      <c r="O28" s="65"/>
      <c r="P28" s="65"/>
      <c r="Q28" s="65"/>
      <c r="R28" s="65"/>
      <c r="S28" s="65"/>
      <c r="T28" s="67"/>
      <c r="U28" s="67">
        <v>2556</v>
      </c>
      <c r="V28" s="68" t="s">
        <v>2154</v>
      </c>
      <c r="W28" s="69" t="e">
        <v>#REF!</v>
      </c>
      <c r="X28" s="70"/>
      <c r="Y28" s="70"/>
      <c r="Z28" s="70"/>
      <c r="AA28" s="429"/>
      <c r="AB28" s="429"/>
      <c r="AC28" s="429"/>
      <c r="AD28" s="429"/>
      <c r="AE28" s="429"/>
      <c r="AF28" s="429"/>
      <c r="AG28" s="429"/>
      <c r="AH28" s="429"/>
      <c r="AI28" s="429"/>
      <c r="AJ28" s="429"/>
      <c r="AK28" s="429"/>
      <c r="AL28" s="429"/>
      <c r="AM28" s="429"/>
    </row>
    <row r="29" spans="1:39">
      <c r="A29" s="50"/>
      <c r="B29" s="52">
        <v>3230</v>
      </c>
      <c r="C29" s="53" t="s">
        <v>191</v>
      </c>
      <c r="D29" s="55" t="s">
        <v>208</v>
      </c>
      <c r="E29" s="53">
        <v>57</v>
      </c>
      <c r="F29" s="56" t="s">
        <v>209</v>
      </c>
      <c r="G29" s="57" t="s">
        <v>78</v>
      </c>
      <c r="H29" s="58">
        <v>35000</v>
      </c>
      <c r="I29" s="59"/>
      <c r="J29" s="60" t="s">
        <v>2368</v>
      </c>
      <c r="K29" s="623" t="s">
        <v>2368</v>
      </c>
      <c r="L29" s="62"/>
      <c r="M29" s="64"/>
      <c r="N29" s="65"/>
      <c r="O29" s="65"/>
      <c r="P29" s="65"/>
      <c r="Q29" s="65"/>
      <c r="R29" s="65"/>
      <c r="S29" s="65"/>
      <c r="T29" s="67">
        <v>15</v>
      </c>
      <c r="U29" s="67">
        <v>2570</v>
      </c>
      <c r="V29" s="68" t="s">
        <v>2154</v>
      </c>
      <c r="W29" s="69" t="e">
        <v>#REF!</v>
      </c>
      <c r="X29" s="70"/>
      <c r="Y29" s="70"/>
      <c r="Z29" s="70"/>
      <c r="AA29" s="429"/>
      <c r="AB29" s="429"/>
      <c r="AC29" s="429"/>
      <c r="AD29" s="429"/>
      <c r="AE29" s="429"/>
      <c r="AF29" s="429"/>
      <c r="AG29" s="429"/>
      <c r="AH29" s="429"/>
      <c r="AI29" s="429"/>
      <c r="AJ29" s="429"/>
      <c r="AK29" s="429"/>
      <c r="AL29" s="429"/>
      <c r="AM29" s="429"/>
    </row>
    <row r="30" spans="1:39">
      <c r="A30" s="35"/>
      <c r="B30" s="37">
        <v>3400</v>
      </c>
      <c r="C30" s="38"/>
      <c r="D30" s="498" t="s">
        <v>4080</v>
      </c>
      <c r="E30" s="621"/>
      <c r="F30" s="621"/>
      <c r="G30" s="41"/>
      <c r="H30" s="42"/>
      <c r="I30" s="41"/>
      <c r="J30" s="43"/>
      <c r="K30" s="38"/>
      <c r="L30" s="38"/>
      <c r="M30" s="41"/>
      <c r="N30" s="35"/>
      <c r="O30" s="37"/>
      <c r="P30" s="38"/>
      <c r="Q30" s="492"/>
      <c r="R30" s="41"/>
      <c r="S30" s="43"/>
      <c r="T30" s="41"/>
      <c r="U30" s="41"/>
      <c r="V30" s="37" t="s">
        <v>2158</v>
      </c>
      <c r="W30" s="37">
        <v>11</v>
      </c>
      <c r="X30" s="41"/>
      <c r="Y30" s="41"/>
      <c r="Z30" s="41"/>
      <c r="AA30" s="427"/>
      <c r="AB30" s="427"/>
      <c r="AC30" s="427"/>
      <c r="AD30" s="427"/>
      <c r="AE30" s="427"/>
      <c r="AF30" s="427"/>
      <c r="AG30" s="427"/>
      <c r="AH30" s="427"/>
      <c r="AI30" s="427"/>
      <c r="AJ30" s="427"/>
      <c r="AK30" s="427"/>
      <c r="AL30" s="427"/>
      <c r="AM30" s="427"/>
    </row>
    <row r="31" spans="1:39">
      <c r="A31" s="50"/>
      <c r="B31" s="52">
        <v>3405</v>
      </c>
      <c r="C31" s="53" t="s">
        <v>191</v>
      </c>
      <c r="D31" s="55" t="s">
        <v>220</v>
      </c>
      <c r="E31" s="53">
        <v>52</v>
      </c>
      <c r="F31" s="56" t="s">
        <v>221</v>
      </c>
      <c r="G31" s="57" t="s">
        <v>78</v>
      </c>
      <c r="H31" s="58">
        <v>8600</v>
      </c>
      <c r="I31" s="59"/>
      <c r="J31" s="60" t="s">
        <v>2369</v>
      </c>
      <c r="K31" s="623" t="s">
        <v>2369</v>
      </c>
      <c r="L31" s="62"/>
      <c r="M31" s="64"/>
      <c r="N31" s="65"/>
      <c r="O31" s="65"/>
      <c r="P31" s="65"/>
      <c r="Q31" s="65"/>
      <c r="R31" s="65"/>
      <c r="S31" s="65"/>
      <c r="T31" s="67">
        <v>15</v>
      </c>
      <c r="U31" s="67">
        <v>2565</v>
      </c>
      <c r="V31" s="68" t="s">
        <v>2158</v>
      </c>
      <c r="W31" s="69" t="e">
        <v>#REF!</v>
      </c>
      <c r="X31" s="70"/>
      <c r="Y31" s="70"/>
      <c r="Z31" s="70"/>
      <c r="AA31" s="429"/>
      <c r="AB31" s="429"/>
      <c r="AC31" s="429"/>
      <c r="AD31" s="429"/>
      <c r="AE31" s="429"/>
      <c r="AF31" s="429"/>
      <c r="AG31" s="429"/>
      <c r="AH31" s="429"/>
      <c r="AI31" s="429"/>
      <c r="AJ31" s="429"/>
      <c r="AK31" s="429"/>
      <c r="AL31" s="429"/>
      <c r="AM31" s="429"/>
    </row>
    <row r="32" spans="1:39">
      <c r="A32" s="50"/>
      <c r="B32" s="52">
        <v>3413</v>
      </c>
      <c r="C32" s="53" t="s">
        <v>191</v>
      </c>
      <c r="D32" s="55" t="s">
        <v>226</v>
      </c>
      <c r="E32" s="53">
        <v>52</v>
      </c>
      <c r="F32" s="56" t="s">
        <v>227</v>
      </c>
      <c r="G32" s="57" t="s">
        <v>78</v>
      </c>
      <c r="H32" s="58">
        <v>15000</v>
      </c>
      <c r="I32" s="59"/>
      <c r="J32" s="60" t="s">
        <v>2371</v>
      </c>
      <c r="K32" s="623" t="s">
        <v>2371</v>
      </c>
      <c r="L32" s="62"/>
      <c r="M32" s="64"/>
      <c r="N32" s="65"/>
      <c r="O32" s="65"/>
      <c r="P32" s="65"/>
      <c r="Q32" s="65"/>
      <c r="R32" s="65"/>
      <c r="S32" s="65"/>
      <c r="T32" s="67">
        <v>15</v>
      </c>
      <c r="U32" s="67">
        <v>2565</v>
      </c>
      <c r="V32" s="68" t="s">
        <v>2158</v>
      </c>
      <c r="W32" s="69" t="e">
        <v>#REF!</v>
      </c>
      <c r="X32" s="70"/>
      <c r="Y32" s="70"/>
      <c r="Z32" s="70"/>
      <c r="AA32" s="429"/>
      <c r="AB32" s="429"/>
      <c r="AC32" s="429"/>
      <c r="AD32" s="429"/>
      <c r="AE32" s="429"/>
      <c r="AF32" s="429"/>
      <c r="AG32" s="429"/>
      <c r="AH32" s="429"/>
      <c r="AI32" s="429"/>
      <c r="AJ32" s="429"/>
      <c r="AK32" s="429"/>
      <c r="AL32" s="429"/>
      <c r="AM32" s="429"/>
    </row>
    <row r="33" spans="1:39">
      <c r="A33" s="50"/>
      <c r="B33" s="52">
        <v>3416</v>
      </c>
      <c r="C33" s="53" t="s">
        <v>157</v>
      </c>
      <c r="D33" s="55" t="s">
        <v>232</v>
      </c>
      <c r="E33" s="53">
        <v>59</v>
      </c>
      <c r="F33" s="56" t="s">
        <v>233</v>
      </c>
      <c r="G33" s="57" t="s">
        <v>78</v>
      </c>
      <c r="H33" s="58">
        <v>550000</v>
      </c>
      <c r="I33" s="59"/>
      <c r="J33" s="60" t="s">
        <v>2374</v>
      </c>
      <c r="K33" s="61"/>
      <c r="L33" s="62"/>
      <c r="M33" s="64"/>
      <c r="N33" s="65"/>
      <c r="O33" s="65"/>
      <c r="P33" s="65"/>
      <c r="Q33" s="65"/>
      <c r="R33" s="65"/>
      <c r="S33" s="65"/>
      <c r="T33" s="67"/>
      <c r="U33" s="67">
        <v>2557</v>
      </c>
      <c r="V33" s="68" t="s">
        <v>2158</v>
      </c>
      <c r="W33" s="69" t="e">
        <v>#REF!</v>
      </c>
      <c r="X33" s="70"/>
      <c r="Y33" s="70"/>
      <c r="Z33" s="70"/>
      <c r="AA33" s="429"/>
      <c r="AB33" s="429"/>
      <c r="AC33" s="429"/>
      <c r="AD33" s="429"/>
      <c r="AE33" s="429"/>
      <c r="AF33" s="429"/>
      <c r="AG33" s="429"/>
      <c r="AH33" s="429"/>
      <c r="AI33" s="429"/>
      <c r="AJ33" s="429"/>
      <c r="AK33" s="429"/>
      <c r="AL33" s="429"/>
      <c r="AM33" s="429"/>
    </row>
    <row r="34" spans="1:39">
      <c r="A34" s="50"/>
      <c r="B34" s="52">
        <v>3431</v>
      </c>
      <c r="C34" s="53" t="s">
        <v>63</v>
      </c>
      <c r="D34" s="55" t="s">
        <v>237</v>
      </c>
      <c r="E34" s="53">
        <v>53</v>
      </c>
      <c r="F34" s="56" t="s">
        <v>239</v>
      </c>
      <c r="G34" s="57" t="s">
        <v>78</v>
      </c>
      <c r="H34" s="58">
        <v>175000</v>
      </c>
      <c r="I34" s="59"/>
      <c r="J34" s="60" t="s">
        <v>2377</v>
      </c>
      <c r="K34" s="623" t="s">
        <v>2377</v>
      </c>
      <c r="L34" s="62"/>
      <c r="M34" s="64"/>
      <c r="N34" s="65"/>
      <c r="O34" s="65"/>
      <c r="P34" s="65"/>
      <c r="Q34" s="65"/>
      <c r="R34" s="65"/>
      <c r="S34" s="65"/>
      <c r="T34" s="67">
        <v>15</v>
      </c>
      <c r="U34" s="67">
        <v>2566</v>
      </c>
      <c r="V34" s="68" t="s">
        <v>2158</v>
      </c>
      <c r="W34" s="69" t="e">
        <v>#REF!</v>
      </c>
      <c r="X34" s="70"/>
      <c r="Y34" s="70"/>
      <c r="Z34" s="70"/>
      <c r="AA34" s="429"/>
      <c r="AB34" s="429"/>
      <c r="AC34" s="429"/>
      <c r="AD34" s="429"/>
      <c r="AE34" s="429"/>
      <c r="AF34" s="429"/>
      <c r="AG34" s="429"/>
      <c r="AH34" s="429"/>
      <c r="AI34" s="429"/>
      <c r="AJ34" s="429"/>
      <c r="AK34" s="429"/>
      <c r="AL34" s="429"/>
      <c r="AM34" s="429"/>
    </row>
    <row r="35" spans="1:39">
      <c r="A35" s="50"/>
      <c r="B35" s="52">
        <v>3431</v>
      </c>
      <c r="C35" s="53" t="s">
        <v>157</v>
      </c>
      <c r="D35" s="55" t="s">
        <v>243</v>
      </c>
      <c r="E35" s="53">
        <v>55</v>
      </c>
      <c r="F35" s="56" t="s">
        <v>244</v>
      </c>
      <c r="G35" s="57" t="s">
        <v>78</v>
      </c>
      <c r="H35" s="58">
        <v>35000</v>
      </c>
      <c r="I35" s="59"/>
      <c r="J35" s="60" t="s">
        <v>2377</v>
      </c>
      <c r="K35" s="623" t="s">
        <v>2377</v>
      </c>
      <c r="L35" s="62"/>
      <c r="M35" s="64"/>
      <c r="N35" s="65"/>
      <c r="O35" s="65"/>
      <c r="P35" s="65"/>
      <c r="Q35" s="65"/>
      <c r="R35" s="65"/>
      <c r="S35" s="65"/>
      <c r="T35" s="67">
        <v>15</v>
      </c>
      <c r="U35" s="67">
        <v>2568</v>
      </c>
      <c r="V35" s="68" t="s">
        <v>2158</v>
      </c>
      <c r="W35" s="69" t="e">
        <v>#REF!</v>
      </c>
      <c r="X35" s="70"/>
      <c r="Y35" s="70"/>
      <c r="Z35" s="70"/>
      <c r="AA35" s="429"/>
      <c r="AB35" s="429"/>
      <c r="AC35" s="429"/>
      <c r="AD35" s="429"/>
      <c r="AE35" s="429"/>
      <c r="AF35" s="429"/>
      <c r="AG35" s="429"/>
      <c r="AH35" s="429"/>
      <c r="AI35" s="429"/>
      <c r="AJ35" s="429"/>
      <c r="AK35" s="429"/>
      <c r="AL35" s="429"/>
      <c r="AM35" s="429"/>
    </row>
    <row r="36" spans="1:39">
      <c r="A36" s="50"/>
      <c r="B36" s="52">
        <v>3431</v>
      </c>
      <c r="C36" s="53" t="s">
        <v>157</v>
      </c>
      <c r="D36" s="55" t="s">
        <v>248</v>
      </c>
      <c r="E36" s="53">
        <v>54</v>
      </c>
      <c r="F36" s="56" t="s">
        <v>250</v>
      </c>
      <c r="G36" s="57" t="s">
        <v>78</v>
      </c>
      <c r="H36" s="58">
        <v>14000</v>
      </c>
      <c r="I36" s="59"/>
      <c r="J36" s="60" t="s">
        <v>2377</v>
      </c>
      <c r="K36" s="623" t="s">
        <v>2377</v>
      </c>
      <c r="L36" s="62"/>
      <c r="M36" s="64"/>
      <c r="N36" s="65"/>
      <c r="O36" s="65"/>
      <c r="P36" s="65"/>
      <c r="Q36" s="65"/>
      <c r="R36" s="65"/>
      <c r="S36" s="65"/>
      <c r="T36" s="67">
        <v>15</v>
      </c>
      <c r="U36" s="67">
        <v>2567</v>
      </c>
      <c r="V36" s="68" t="s">
        <v>2158</v>
      </c>
      <c r="W36" s="69" t="e">
        <v>#REF!</v>
      </c>
      <c r="X36" s="70"/>
      <c r="Y36" s="70"/>
      <c r="Z36" s="70"/>
      <c r="AA36" s="429"/>
      <c r="AB36" s="429"/>
      <c r="AC36" s="429"/>
      <c r="AD36" s="429"/>
      <c r="AE36" s="429"/>
      <c r="AF36" s="429"/>
      <c r="AG36" s="429"/>
      <c r="AH36" s="429"/>
      <c r="AI36" s="429"/>
      <c r="AJ36" s="429"/>
      <c r="AK36" s="429"/>
      <c r="AL36" s="429"/>
      <c r="AM36" s="429"/>
    </row>
    <row r="37" spans="1:39">
      <c r="A37" s="50"/>
      <c r="B37" s="342">
        <v>3432</v>
      </c>
      <c r="C37" s="343" t="s">
        <v>256</v>
      </c>
      <c r="D37" s="344" t="s">
        <v>263</v>
      </c>
      <c r="E37" s="343">
        <v>56</v>
      </c>
      <c r="F37" s="345" t="s">
        <v>265</v>
      </c>
      <c r="G37" s="346" t="s">
        <v>78</v>
      </c>
      <c r="H37" s="347">
        <v>100000</v>
      </c>
      <c r="I37" s="348"/>
      <c r="J37" s="349" t="s">
        <v>2378</v>
      </c>
      <c r="K37" s="624" t="s">
        <v>2378</v>
      </c>
      <c r="L37" s="62"/>
      <c r="M37" s="64"/>
      <c r="N37" s="65"/>
      <c r="O37" s="65"/>
      <c r="P37" s="65"/>
      <c r="Q37" s="65"/>
      <c r="R37" s="65"/>
      <c r="S37" s="65"/>
      <c r="T37" s="67"/>
      <c r="U37" s="67"/>
      <c r="V37" s="68"/>
      <c r="W37" s="69"/>
      <c r="X37" s="70"/>
      <c r="Y37" s="70"/>
      <c r="Z37" s="70"/>
      <c r="AA37" s="429"/>
      <c r="AB37" s="429"/>
      <c r="AC37" s="429"/>
      <c r="AD37" s="429"/>
      <c r="AE37" s="429"/>
      <c r="AF37" s="429"/>
      <c r="AG37" s="429"/>
      <c r="AH37" s="429"/>
      <c r="AI37" s="429"/>
      <c r="AJ37" s="429"/>
      <c r="AK37" s="429"/>
      <c r="AL37" s="429"/>
      <c r="AM37" s="429"/>
    </row>
    <row r="38" spans="1:39">
      <c r="A38" s="50"/>
      <c r="B38" s="342">
        <v>3432</v>
      </c>
      <c r="C38" s="343" t="s">
        <v>256</v>
      </c>
      <c r="D38" s="344" t="s">
        <v>257</v>
      </c>
      <c r="E38" s="343">
        <v>54</v>
      </c>
      <c r="F38" s="345" t="s">
        <v>258</v>
      </c>
      <c r="G38" s="346" t="s">
        <v>78</v>
      </c>
      <c r="H38" s="347">
        <v>220000</v>
      </c>
      <c r="I38" s="348"/>
      <c r="J38" s="349" t="s">
        <v>2378</v>
      </c>
      <c r="K38" s="624" t="s">
        <v>2378</v>
      </c>
      <c r="L38" s="62"/>
      <c r="M38" s="64"/>
      <c r="N38" s="65"/>
      <c r="O38" s="65"/>
      <c r="P38" s="65"/>
      <c r="Q38" s="65"/>
      <c r="R38" s="65"/>
      <c r="S38" s="65"/>
      <c r="T38" s="67">
        <v>15</v>
      </c>
      <c r="U38" s="67">
        <v>2567</v>
      </c>
      <c r="V38" s="68" t="s">
        <v>2158</v>
      </c>
      <c r="W38" s="69" t="e">
        <v>#REF!</v>
      </c>
      <c r="X38" s="70"/>
      <c r="Y38" s="70"/>
      <c r="Z38" s="70"/>
      <c r="AA38" s="429"/>
      <c r="AB38" s="429"/>
      <c r="AC38" s="429"/>
      <c r="AD38" s="429"/>
      <c r="AE38" s="429"/>
      <c r="AF38" s="429"/>
      <c r="AG38" s="429"/>
      <c r="AH38" s="429"/>
      <c r="AI38" s="429"/>
      <c r="AJ38" s="429"/>
      <c r="AK38" s="429"/>
      <c r="AL38" s="429"/>
      <c r="AM38" s="429"/>
    </row>
    <row r="39" spans="1:39">
      <c r="A39" s="50"/>
      <c r="B39" s="52">
        <v>3433</v>
      </c>
      <c r="C39" s="53" t="s">
        <v>157</v>
      </c>
      <c r="D39" s="55" t="s">
        <v>270</v>
      </c>
      <c r="E39" s="53">
        <v>54</v>
      </c>
      <c r="F39" s="56" t="s">
        <v>272</v>
      </c>
      <c r="G39" s="57" t="s">
        <v>273</v>
      </c>
      <c r="H39" s="58">
        <v>9500</v>
      </c>
      <c r="I39" s="59"/>
      <c r="J39" s="60" t="s">
        <v>2379</v>
      </c>
      <c r="K39" s="623" t="s">
        <v>2379</v>
      </c>
      <c r="L39" s="62"/>
      <c r="M39" s="64"/>
      <c r="N39" s="65"/>
      <c r="O39" s="65"/>
      <c r="P39" s="65"/>
      <c r="Q39" s="65"/>
      <c r="R39" s="65"/>
      <c r="S39" s="65"/>
      <c r="T39" s="67">
        <v>15</v>
      </c>
      <c r="U39" s="67">
        <v>2567</v>
      </c>
      <c r="V39" s="68" t="s">
        <v>2158</v>
      </c>
      <c r="W39" s="69" t="e">
        <v>#REF!</v>
      </c>
      <c r="X39" s="70"/>
      <c r="Y39" s="70"/>
      <c r="Z39" s="70"/>
      <c r="AA39" s="429"/>
      <c r="AB39" s="429"/>
      <c r="AC39" s="429"/>
      <c r="AD39" s="429"/>
      <c r="AE39" s="429"/>
      <c r="AF39" s="429"/>
      <c r="AG39" s="429"/>
      <c r="AH39" s="429"/>
      <c r="AI39" s="429"/>
      <c r="AJ39" s="429"/>
      <c r="AK39" s="429"/>
      <c r="AL39" s="429"/>
      <c r="AM39" s="429"/>
    </row>
    <row r="40" spans="1:39">
      <c r="A40" s="50"/>
      <c r="B40" s="52">
        <v>3433</v>
      </c>
      <c r="C40" s="53" t="s">
        <v>157</v>
      </c>
      <c r="D40" s="55" t="s">
        <v>278</v>
      </c>
      <c r="E40" s="53">
        <v>53</v>
      </c>
      <c r="F40" s="56" t="s">
        <v>279</v>
      </c>
      <c r="G40" s="57" t="s">
        <v>53</v>
      </c>
      <c r="H40" s="58">
        <v>26500</v>
      </c>
      <c r="I40" s="59"/>
      <c r="J40" s="60" t="s">
        <v>2379</v>
      </c>
      <c r="K40" s="623" t="s">
        <v>2379</v>
      </c>
      <c r="L40" s="62"/>
      <c r="M40" s="64"/>
      <c r="N40" s="65"/>
      <c r="O40" s="65"/>
      <c r="P40" s="65"/>
      <c r="Q40" s="65"/>
      <c r="R40" s="65"/>
      <c r="S40" s="65"/>
      <c r="T40" s="67">
        <v>15</v>
      </c>
      <c r="U40" s="67">
        <v>2566</v>
      </c>
      <c r="V40" s="68" t="s">
        <v>2158</v>
      </c>
      <c r="W40" s="69" t="e">
        <v>#REF!</v>
      </c>
      <c r="X40" s="70"/>
      <c r="Y40" s="70"/>
      <c r="Z40" s="70"/>
      <c r="AA40" s="429"/>
      <c r="AB40" s="429"/>
      <c r="AC40" s="429"/>
      <c r="AD40" s="429"/>
      <c r="AE40" s="429"/>
      <c r="AF40" s="429"/>
      <c r="AG40" s="429"/>
      <c r="AH40" s="429"/>
      <c r="AI40" s="429"/>
      <c r="AJ40" s="429"/>
      <c r="AK40" s="429"/>
      <c r="AL40" s="429"/>
      <c r="AM40" s="429"/>
    </row>
    <row r="41" spans="1:39">
      <c r="A41" s="50"/>
      <c r="B41" s="52">
        <v>3442</v>
      </c>
      <c r="C41" s="53" t="s">
        <v>63</v>
      </c>
      <c r="D41" s="55" t="s">
        <v>284</v>
      </c>
      <c r="E41" s="53">
        <v>58</v>
      </c>
      <c r="F41" s="56" t="s">
        <v>285</v>
      </c>
      <c r="G41" s="57" t="s">
        <v>78</v>
      </c>
      <c r="H41" s="58">
        <v>200000</v>
      </c>
      <c r="I41" s="59"/>
      <c r="J41" s="60" t="s">
        <v>2380</v>
      </c>
      <c r="K41" s="623" t="s">
        <v>2380</v>
      </c>
      <c r="L41" s="62"/>
      <c r="M41" s="64"/>
      <c r="N41" s="65"/>
      <c r="O41" s="65"/>
      <c r="P41" s="65"/>
      <c r="Q41" s="65"/>
      <c r="R41" s="65"/>
      <c r="S41" s="65"/>
      <c r="T41" s="67"/>
      <c r="U41" s="67">
        <v>2556</v>
      </c>
      <c r="V41" s="68" t="s">
        <v>2158</v>
      </c>
      <c r="W41" s="69" t="e">
        <v>#REF!</v>
      </c>
      <c r="X41" s="70"/>
      <c r="Y41" s="70"/>
      <c r="Z41" s="70"/>
      <c r="AA41" s="429"/>
      <c r="AB41" s="429"/>
      <c r="AC41" s="429"/>
      <c r="AD41" s="429"/>
      <c r="AE41" s="429"/>
      <c r="AF41" s="429"/>
      <c r="AG41" s="429"/>
      <c r="AH41" s="429"/>
      <c r="AI41" s="429"/>
      <c r="AJ41" s="429"/>
      <c r="AK41" s="429"/>
      <c r="AL41" s="429"/>
      <c r="AM41" s="429"/>
    </row>
    <row r="42" spans="1:39">
      <c r="A42" s="35"/>
      <c r="B42" s="37">
        <v>3700</v>
      </c>
      <c r="C42" s="38"/>
      <c r="D42" s="498" t="s">
        <v>4081</v>
      </c>
      <c r="E42" s="621"/>
      <c r="F42" s="621"/>
      <c r="G42" s="41"/>
      <c r="H42" s="42"/>
      <c r="I42" s="41"/>
      <c r="J42" s="43"/>
      <c r="K42" s="38"/>
      <c r="L42" s="38"/>
      <c r="M42" s="41"/>
      <c r="N42" s="35"/>
      <c r="O42" s="37"/>
      <c r="P42" s="38"/>
      <c r="Q42" s="492"/>
      <c r="R42" s="41"/>
      <c r="S42" s="43"/>
      <c r="T42" s="41"/>
      <c r="U42" s="41"/>
      <c r="V42" s="37" t="s">
        <v>2164</v>
      </c>
      <c r="W42" s="37">
        <v>6</v>
      </c>
      <c r="X42" s="41"/>
      <c r="Y42" s="41"/>
      <c r="Z42" s="41"/>
      <c r="AA42" s="427"/>
      <c r="AB42" s="427"/>
      <c r="AC42" s="427"/>
      <c r="AD42" s="427"/>
      <c r="AE42" s="427"/>
      <c r="AF42" s="427"/>
      <c r="AG42" s="427"/>
      <c r="AH42" s="427"/>
      <c r="AI42" s="427"/>
      <c r="AJ42" s="427"/>
      <c r="AK42" s="427"/>
      <c r="AL42" s="427"/>
      <c r="AM42" s="427"/>
    </row>
    <row r="43" spans="1:39">
      <c r="A43" s="50"/>
      <c r="B43" s="52">
        <v>3750</v>
      </c>
      <c r="C43" s="53" t="s">
        <v>256</v>
      </c>
      <c r="D43" s="55" t="s">
        <v>294</v>
      </c>
      <c r="E43" s="53">
        <v>61</v>
      </c>
      <c r="F43" s="56" t="s">
        <v>152</v>
      </c>
      <c r="G43" s="57" t="s">
        <v>78</v>
      </c>
      <c r="H43" s="58">
        <v>9500</v>
      </c>
      <c r="I43" s="59"/>
      <c r="J43" s="60" t="s">
        <v>2389</v>
      </c>
      <c r="K43" s="61"/>
      <c r="L43" s="62"/>
      <c r="M43" s="64"/>
      <c r="N43" s="65"/>
      <c r="O43" s="65"/>
      <c r="P43" s="65"/>
      <c r="Q43" s="65"/>
      <c r="R43" s="65"/>
      <c r="S43" s="65"/>
      <c r="T43" s="67"/>
      <c r="U43" s="67">
        <v>2559</v>
      </c>
      <c r="V43" s="68" t="s">
        <v>2164</v>
      </c>
      <c r="W43" s="69" t="e">
        <v>#REF!</v>
      </c>
      <c r="X43" s="70"/>
      <c r="Y43" s="70"/>
      <c r="Z43" s="70"/>
      <c r="AA43" s="429"/>
      <c r="AB43" s="429"/>
      <c r="AC43" s="429"/>
      <c r="AD43" s="429"/>
      <c r="AE43" s="429"/>
      <c r="AF43" s="429"/>
      <c r="AG43" s="429"/>
      <c r="AH43" s="429"/>
      <c r="AI43" s="429"/>
      <c r="AJ43" s="429"/>
      <c r="AK43" s="429"/>
      <c r="AL43" s="429"/>
      <c r="AM43" s="429"/>
    </row>
    <row r="44" spans="1:39">
      <c r="A44" s="50"/>
      <c r="B44" s="52">
        <v>3750</v>
      </c>
      <c r="C44" s="53" t="s">
        <v>256</v>
      </c>
      <c r="D44" s="55" t="s">
        <v>303</v>
      </c>
      <c r="E44" s="53">
        <v>53</v>
      </c>
      <c r="F44" s="56" t="s">
        <v>161</v>
      </c>
      <c r="G44" s="57" t="s">
        <v>78</v>
      </c>
      <c r="H44" s="58">
        <v>13000</v>
      </c>
      <c r="I44" s="59"/>
      <c r="J44" s="60" t="s">
        <v>2389</v>
      </c>
      <c r="K44" s="623" t="s">
        <v>2389</v>
      </c>
      <c r="L44" s="62"/>
      <c r="M44" s="64"/>
      <c r="N44" s="65"/>
      <c r="O44" s="65"/>
      <c r="P44" s="65"/>
      <c r="Q44" s="65"/>
      <c r="R44" s="65"/>
      <c r="S44" s="65"/>
      <c r="T44" s="67">
        <v>15</v>
      </c>
      <c r="U44" s="67">
        <v>2566</v>
      </c>
      <c r="V44" s="68" t="s">
        <v>2164</v>
      </c>
      <c r="W44" s="69" t="e">
        <v>#REF!</v>
      </c>
      <c r="X44" s="70"/>
      <c r="Y44" s="70"/>
      <c r="Z44" s="70"/>
      <c r="AA44" s="429"/>
      <c r="AB44" s="429"/>
      <c r="AC44" s="429"/>
      <c r="AD44" s="429"/>
      <c r="AE44" s="429"/>
      <c r="AF44" s="429"/>
      <c r="AG44" s="429"/>
      <c r="AH44" s="429"/>
      <c r="AI44" s="429"/>
      <c r="AJ44" s="429"/>
      <c r="AK44" s="429"/>
      <c r="AL44" s="429"/>
      <c r="AM44" s="429"/>
    </row>
    <row r="45" spans="1:39">
      <c r="A45" s="50"/>
      <c r="B45" s="52">
        <v>3750</v>
      </c>
      <c r="C45" s="53" t="s">
        <v>256</v>
      </c>
      <c r="D45" s="55" t="s">
        <v>310</v>
      </c>
      <c r="E45" s="53">
        <v>53</v>
      </c>
      <c r="F45" s="56" t="s">
        <v>165</v>
      </c>
      <c r="G45" s="57" t="s">
        <v>78</v>
      </c>
      <c r="H45" s="58">
        <v>182000</v>
      </c>
      <c r="I45" s="59"/>
      <c r="J45" s="60" t="s">
        <v>2389</v>
      </c>
      <c r="K45" s="623" t="s">
        <v>2389</v>
      </c>
      <c r="L45" s="62"/>
      <c r="M45" s="64"/>
      <c r="N45" s="65"/>
      <c r="O45" s="65"/>
      <c r="P45" s="65"/>
      <c r="Q45" s="65"/>
      <c r="R45" s="65"/>
      <c r="S45" s="65"/>
      <c r="T45" s="67">
        <v>15</v>
      </c>
      <c r="U45" s="67">
        <v>2566</v>
      </c>
      <c r="V45" s="68" t="s">
        <v>2164</v>
      </c>
      <c r="W45" s="69" t="e">
        <v>#REF!</v>
      </c>
      <c r="X45" s="70"/>
      <c r="Y45" s="70"/>
      <c r="Z45" s="70"/>
      <c r="AA45" s="429"/>
      <c r="AB45" s="429"/>
      <c r="AC45" s="429"/>
      <c r="AD45" s="429"/>
      <c r="AE45" s="429"/>
      <c r="AF45" s="429"/>
      <c r="AG45" s="429"/>
      <c r="AH45" s="429"/>
      <c r="AI45" s="429"/>
      <c r="AJ45" s="429"/>
      <c r="AK45" s="429"/>
      <c r="AL45" s="429"/>
      <c r="AM45" s="429"/>
    </row>
    <row r="46" spans="1:39">
      <c r="A46" s="50"/>
      <c r="B46" s="52">
        <v>3750</v>
      </c>
      <c r="C46" s="53" t="s">
        <v>256</v>
      </c>
      <c r="D46" s="55" t="s">
        <v>313</v>
      </c>
      <c r="E46" s="53">
        <v>53</v>
      </c>
      <c r="F46" s="56" t="s">
        <v>167</v>
      </c>
      <c r="G46" s="57" t="s">
        <v>78</v>
      </c>
      <c r="H46" s="58">
        <v>12000</v>
      </c>
      <c r="I46" s="59"/>
      <c r="J46" s="60" t="s">
        <v>2389</v>
      </c>
      <c r="K46" s="623" t="s">
        <v>2389</v>
      </c>
      <c r="L46" s="62"/>
      <c r="M46" s="64"/>
      <c r="N46" s="65"/>
      <c r="O46" s="65"/>
      <c r="P46" s="65"/>
      <c r="Q46" s="65"/>
      <c r="R46" s="65"/>
      <c r="S46" s="65"/>
      <c r="T46" s="67">
        <v>15</v>
      </c>
      <c r="U46" s="67">
        <v>2566</v>
      </c>
      <c r="V46" s="68" t="s">
        <v>2164</v>
      </c>
      <c r="W46" s="69" t="e">
        <v>#REF!</v>
      </c>
      <c r="X46" s="70"/>
      <c r="Y46" s="70"/>
      <c r="Z46" s="70"/>
      <c r="AA46" s="429"/>
      <c r="AB46" s="429"/>
      <c r="AC46" s="429"/>
      <c r="AD46" s="429"/>
      <c r="AE46" s="429"/>
      <c r="AF46" s="429"/>
      <c r="AG46" s="429"/>
      <c r="AH46" s="429"/>
      <c r="AI46" s="429"/>
      <c r="AJ46" s="429"/>
      <c r="AK46" s="429"/>
      <c r="AL46" s="429"/>
      <c r="AM46" s="429"/>
    </row>
    <row r="47" spans="1:39">
      <c r="A47" s="50"/>
      <c r="B47" s="52">
        <v>3750</v>
      </c>
      <c r="C47" s="53" t="s">
        <v>256</v>
      </c>
      <c r="D47" s="55" t="s">
        <v>319</v>
      </c>
      <c r="E47" s="53">
        <v>58</v>
      </c>
      <c r="F47" s="56" t="s">
        <v>320</v>
      </c>
      <c r="G47" s="57" t="s">
        <v>78</v>
      </c>
      <c r="H47" s="58">
        <v>180000</v>
      </c>
      <c r="I47" s="59"/>
      <c r="J47" s="60" t="s">
        <v>2389</v>
      </c>
      <c r="K47" s="623" t="s">
        <v>2389</v>
      </c>
      <c r="L47" s="62"/>
      <c r="M47" s="64"/>
      <c r="N47" s="65"/>
      <c r="O47" s="65"/>
      <c r="P47" s="65"/>
      <c r="Q47" s="65"/>
      <c r="R47" s="65"/>
      <c r="S47" s="65"/>
      <c r="T47" s="67">
        <v>15</v>
      </c>
      <c r="U47" s="67">
        <v>2571</v>
      </c>
      <c r="V47" s="68" t="s">
        <v>2164</v>
      </c>
      <c r="W47" s="69" t="e">
        <v>#REF!</v>
      </c>
      <c r="X47" s="70"/>
      <c r="Y47" s="70"/>
      <c r="Z47" s="70"/>
      <c r="AA47" s="429"/>
      <c r="AB47" s="429"/>
      <c r="AC47" s="429"/>
      <c r="AD47" s="429"/>
      <c r="AE47" s="429"/>
      <c r="AF47" s="429"/>
      <c r="AG47" s="429"/>
      <c r="AH47" s="429"/>
      <c r="AI47" s="429"/>
      <c r="AJ47" s="429"/>
      <c r="AK47" s="429"/>
      <c r="AL47" s="429"/>
      <c r="AM47" s="429"/>
    </row>
    <row r="48" spans="1:39">
      <c r="A48" s="50"/>
      <c r="B48" s="52">
        <v>3750</v>
      </c>
      <c r="C48" s="53" t="s">
        <v>63</v>
      </c>
      <c r="D48" s="55" t="s">
        <v>325</v>
      </c>
      <c r="E48" s="53">
        <v>55</v>
      </c>
      <c r="F48" s="56" t="s">
        <v>326</v>
      </c>
      <c r="G48" s="57" t="s">
        <v>53</v>
      </c>
      <c r="H48" s="58">
        <v>750000</v>
      </c>
      <c r="I48" s="59"/>
      <c r="J48" s="60" t="s">
        <v>2389</v>
      </c>
      <c r="K48" s="623" t="s">
        <v>2389</v>
      </c>
      <c r="L48" s="62"/>
      <c r="M48" s="64"/>
      <c r="N48" s="65"/>
      <c r="O48" s="65"/>
      <c r="P48" s="65"/>
      <c r="Q48" s="65"/>
      <c r="R48" s="65"/>
      <c r="S48" s="65"/>
      <c r="T48" s="67">
        <v>15</v>
      </c>
      <c r="U48" s="67">
        <v>2568</v>
      </c>
      <c r="V48" s="68" t="s">
        <v>2164</v>
      </c>
      <c r="W48" s="69" t="e">
        <v>#REF!</v>
      </c>
      <c r="X48" s="70"/>
      <c r="Y48" s="70"/>
      <c r="Z48" s="70"/>
      <c r="AA48" s="429"/>
      <c r="AB48" s="429"/>
      <c r="AC48" s="429"/>
      <c r="AD48" s="429"/>
      <c r="AE48" s="429"/>
      <c r="AF48" s="429"/>
      <c r="AG48" s="429"/>
      <c r="AH48" s="429"/>
      <c r="AI48" s="429"/>
      <c r="AJ48" s="429"/>
      <c r="AK48" s="429"/>
      <c r="AL48" s="429"/>
      <c r="AM48" s="429"/>
    </row>
    <row r="49" spans="1:39">
      <c r="A49" s="35"/>
      <c r="B49" s="37">
        <v>3800</v>
      </c>
      <c r="C49" s="38"/>
      <c r="D49" s="498" t="s">
        <v>4082</v>
      </c>
      <c r="E49" s="621"/>
      <c r="F49" s="621"/>
      <c r="G49" s="41"/>
      <c r="H49" s="42"/>
      <c r="I49" s="41"/>
      <c r="J49" s="43"/>
      <c r="K49" s="38"/>
      <c r="L49" s="38"/>
      <c r="M49" s="41"/>
      <c r="N49" s="35"/>
      <c r="O49" s="37"/>
      <c r="P49" s="38"/>
      <c r="Q49" s="492"/>
      <c r="R49" s="41"/>
      <c r="S49" s="43"/>
      <c r="T49" s="41"/>
      <c r="U49" s="41"/>
      <c r="V49" s="37" t="s">
        <v>2166</v>
      </c>
      <c r="W49" s="37">
        <v>12</v>
      </c>
      <c r="X49" s="41"/>
      <c r="Y49" s="41"/>
      <c r="Z49" s="41"/>
      <c r="AA49" s="427"/>
      <c r="AB49" s="427"/>
      <c r="AC49" s="427"/>
      <c r="AD49" s="427"/>
      <c r="AE49" s="427"/>
      <c r="AF49" s="427"/>
      <c r="AG49" s="427"/>
      <c r="AH49" s="427"/>
      <c r="AI49" s="427"/>
      <c r="AJ49" s="427"/>
      <c r="AK49" s="427"/>
      <c r="AL49" s="427"/>
      <c r="AM49" s="427"/>
    </row>
    <row r="50" spans="1:39">
      <c r="A50" s="50"/>
      <c r="B50" s="52">
        <v>3805</v>
      </c>
      <c r="C50" s="53" t="s">
        <v>63</v>
      </c>
      <c r="D50" s="55" t="s">
        <v>340</v>
      </c>
      <c r="E50" s="53">
        <v>60</v>
      </c>
      <c r="F50" s="56" t="s">
        <v>341</v>
      </c>
      <c r="G50" s="57" t="s">
        <v>28</v>
      </c>
      <c r="H50" s="58">
        <v>2500000</v>
      </c>
      <c r="I50" s="59"/>
      <c r="J50" s="60" t="s">
        <v>2392</v>
      </c>
      <c r="K50" s="61"/>
      <c r="L50" s="62"/>
      <c r="M50" s="64"/>
      <c r="N50" s="65"/>
      <c r="O50" s="65"/>
      <c r="P50" s="65"/>
      <c r="Q50" s="65"/>
      <c r="R50" s="65"/>
      <c r="S50" s="65"/>
      <c r="T50" s="67"/>
      <c r="U50" s="67">
        <v>2558</v>
      </c>
      <c r="V50" s="68" t="s">
        <v>2166</v>
      </c>
      <c r="W50" s="69" t="e">
        <v>#REF!</v>
      </c>
      <c r="X50" s="70"/>
      <c r="Y50" s="70"/>
      <c r="Z50" s="70"/>
      <c r="AA50" s="429"/>
      <c r="AB50" s="429"/>
      <c r="AC50" s="429"/>
      <c r="AD50" s="429"/>
      <c r="AE50" s="429"/>
      <c r="AF50" s="429"/>
      <c r="AG50" s="429"/>
      <c r="AH50" s="429"/>
      <c r="AI50" s="429"/>
      <c r="AJ50" s="429"/>
      <c r="AK50" s="429"/>
      <c r="AL50" s="429"/>
      <c r="AM50" s="429"/>
    </row>
    <row r="51" spans="1:39">
      <c r="A51" s="50"/>
      <c r="B51" s="52">
        <v>3805</v>
      </c>
      <c r="C51" s="53" t="s">
        <v>63</v>
      </c>
      <c r="D51" s="55" t="s">
        <v>350</v>
      </c>
      <c r="E51" s="53">
        <v>57</v>
      </c>
      <c r="F51" s="56" t="s">
        <v>351</v>
      </c>
      <c r="G51" s="57" t="s">
        <v>28</v>
      </c>
      <c r="H51" s="58">
        <v>5000000</v>
      </c>
      <c r="I51" s="59"/>
      <c r="J51" s="60" t="s">
        <v>2392</v>
      </c>
      <c r="K51" s="623" t="s">
        <v>2392</v>
      </c>
      <c r="L51" s="62"/>
      <c r="M51" s="64"/>
      <c r="N51" s="65"/>
      <c r="O51" s="65"/>
      <c r="P51" s="65"/>
      <c r="Q51" s="65"/>
      <c r="R51" s="65"/>
      <c r="S51" s="65"/>
      <c r="T51" s="67">
        <v>20</v>
      </c>
      <c r="U51" s="67">
        <v>2575</v>
      </c>
      <c r="V51" s="68" t="s">
        <v>2166</v>
      </c>
      <c r="W51" s="69" t="e">
        <v>#REF!</v>
      </c>
      <c r="X51" s="70"/>
      <c r="Y51" s="70"/>
      <c r="Z51" s="70"/>
      <c r="AA51" s="429"/>
      <c r="AB51" s="429"/>
      <c r="AC51" s="429"/>
      <c r="AD51" s="429"/>
      <c r="AE51" s="429"/>
      <c r="AF51" s="429"/>
      <c r="AG51" s="429"/>
      <c r="AH51" s="429"/>
      <c r="AI51" s="429"/>
      <c r="AJ51" s="429"/>
      <c r="AK51" s="429"/>
      <c r="AL51" s="429"/>
      <c r="AM51" s="429"/>
    </row>
    <row r="52" spans="1:39">
      <c r="A52" s="50"/>
      <c r="B52" s="52">
        <v>3805</v>
      </c>
      <c r="C52" s="53" t="s">
        <v>63</v>
      </c>
      <c r="D52" s="55" t="s">
        <v>359</v>
      </c>
      <c r="E52" s="53">
        <v>59</v>
      </c>
      <c r="F52" s="56" t="s">
        <v>360</v>
      </c>
      <c r="G52" s="57" t="s">
        <v>28</v>
      </c>
      <c r="H52" s="58">
        <v>4500000</v>
      </c>
      <c r="I52" s="59"/>
      <c r="J52" s="60" t="s">
        <v>2392</v>
      </c>
      <c r="K52" s="623" t="s">
        <v>2392</v>
      </c>
      <c r="L52" s="62"/>
      <c r="M52" s="64"/>
      <c r="N52" s="65"/>
      <c r="O52" s="65"/>
      <c r="P52" s="65"/>
      <c r="Q52" s="65"/>
      <c r="R52" s="65"/>
      <c r="S52" s="65"/>
      <c r="T52" s="67"/>
      <c r="U52" s="67">
        <v>2557</v>
      </c>
      <c r="V52" s="68" t="s">
        <v>2166</v>
      </c>
      <c r="W52" s="69" t="e">
        <v>#REF!</v>
      </c>
      <c r="X52" s="70"/>
      <c r="Y52" s="70"/>
      <c r="Z52" s="70"/>
      <c r="AA52" s="429"/>
      <c r="AB52" s="429"/>
      <c r="AC52" s="429"/>
      <c r="AD52" s="429"/>
      <c r="AE52" s="429"/>
      <c r="AF52" s="429"/>
      <c r="AG52" s="429"/>
      <c r="AH52" s="429"/>
      <c r="AI52" s="429"/>
      <c r="AJ52" s="429"/>
      <c r="AK52" s="429"/>
      <c r="AL52" s="429"/>
      <c r="AM52" s="429"/>
    </row>
    <row r="53" spans="1:39">
      <c r="A53" s="50"/>
      <c r="B53" s="52">
        <v>3805</v>
      </c>
      <c r="C53" s="53" t="s">
        <v>63</v>
      </c>
      <c r="D53" s="55" t="s">
        <v>365</v>
      </c>
      <c r="E53" s="53">
        <v>62</v>
      </c>
      <c r="F53" s="56" t="s">
        <v>366</v>
      </c>
      <c r="G53" s="57" t="s">
        <v>367</v>
      </c>
      <c r="H53" s="58">
        <v>3800000</v>
      </c>
      <c r="I53" s="59"/>
      <c r="J53" s="60" t="s">
        <v>2392</v>
      </c>
      <c r="K53" s="61"/>
      <c r="L53" s="62"/>
      <c r="M53" s="64"/>
      <c r="N53" s="65"/>
      <c r="O53" s="65"/>
      <c r="P53" s="65"/>
      <c r="Q53" s="65"/>
      <c r="R53" s="65"/>
      <c r="S53" s="65"/>
      <c r="T53" s="67"/>
      <c r="U53" s="67"/>
      <c r="V53" s="68" t="s">
        <v>2166</v>
      </c>
      <c r="W53" s="69" t="e">
        <v>#REF!</v>
      </c>
      <c r="X53" s="70"/>
      <c r="Y53" s="70"/>
      <c r="Z53" s="70"/>
      <c r="AA53" s="429"/>
      <c r="AB53" s="429"/>
      <c r="AC53" s="429"/>
      <c r="AD53" s="429"/>
      <c r="AE53" s="429"/>
      <c r="AF53" s="429"/>
      <c r="AG53" s="429"/>
      <c r="AH53" s="429"/>
      <c r="AI53" s="429"/>
      <c r="AJ53" s="429"/>
      <c r="AK53" s="429"/>
      <c r="AL53" s="429"/>
      <c r="AM53" s="429"/>
    </row>
    <row r="54" spans="1:39">
      <c r="A54" s="50"/>
      <c r="B54" s="52">
        <v>3820</v>
      </c>
      <c r="C54" s="53" t="s">
        <v>372</v>
      </c>
      <c r="D54" s="55" t="s">
        <v>375</v>
      </c>
      <c r="E54" s="53">
        <v>61</v>
      </c>
      <c r="F54" s="56" t="s">
        <v>376</v>
      </c>
      <c r="G54" s="57" t="s">
        <v>78</v>
      </c>
      <c r="H54" s="58">
        <v>580000</v>
      </c>
      <c r="I54" s="59"/>
      <c r="J54" s="60" t="s">
        <v>2393</v>
      </c>
      <c r="K54" s="623" t="s">
        <v>2393</v>
      </c>
      <c r="L54" s="62" t="s">
        <v>379</v>
      </c>
      <c r="M54" s="64"/>
      <c r="N54" s="65"/>
      <c r="O54" s="65"/>
      <c r="P54" s="65"/>
      <c r="Q54" s="65"/>
      <c r="R54" s="65"/>
      <c r="S54" s="65"/>
      <c r="T54" s="67">
        <v>20</v>
      </c>
      <c r="U54" s="67">
        <v>2579</v>
      </c>
      <c r="V54" s="68" t="s">
        <v>2166</v>
      </c>
      <c r="W54" s="69" t="e">
        <v>#REF!</v>
      </c>
      <c r="X54" s="70" t="s">
        <v>384</v>
      </c>
      <c r="Y54" s="70"/>
      <c r="Z54" s="70"/>
      <c r="AA54" s="429"/>
      <c r="AB54" s="429"/>
      <c r="AC54" s="429"/>
      <c r="AD54" s="429"/>
      <c r="AE54" s="429"/>
      <c r="AF54" s="429"/>
      <c r="AG54" s="429"/>
      <c r="AH54" s="429"/>
      <c r="AI54" s="429"/>
      <c r="AJ54" s="429"/>
      <c r="AK54" s="429"/>
      <c r="AL54" s="429"/>
      <c r="AM54" s="429"/>
    </row>
    <row r="55" spans="1:39">
      <c r="A55" s="50"/>
      <c r="B55" s="52">
        <v>3820</v>
      </c>
      <c r="C55" s="53" t="s">
        <v>372</v>
      </c>
      <c r="D55" s="55" t="s">
        <v>387</v>
      </c>
      <c r="E55" s="53">
        <v>61</v>
      </c>
      <c r="F55" s="56" t="s">
        <v>388</v>
      </c>
      <c r="G55" s="57" t="s">
        <v>78</v>
      </c>
      <c r="H55" s="58">
        <v>80000</v>
      </c>
      <c r="I55" s="59"/>
      <c r="J55" s="60" t="s">
        <v>2393</v>
      </c>
      <c r="K55" s="61"/>
      <c r="L55" s="62" t="s">
        <v>390</v>
      </c>
      <c r="M55" s="64"/>
      <c r="N55" s="65"/>
      <c r="O55" s="65"/>
      <c r="P55" s="65"/>
      <c r="Q55" s="65"/>
      <c r="R55" s="65"/>
      <c r="S55" s="65"/>
      <c r="T55" s="67"/>
      <c r="U55" s="67"/>
      <c r="V55" s="68" t="s">
        <v>2166</v>
      </c>
      <c r="W55" s="69" t="e">
        <v>#REF!</v>
      </c>
      <c r="X55" s="70" t="s">
        <v>384</v>
      </c>
      <c r="Y55" s="70"/>
      <c r="Z55" s="70"/>
      <c r="AA55" s="429"/>
      <c r="AB55" s="429"/>
      <c r="AC55" s="429"/>
      <c r="AD55" s="429"/>
      <c r="AE55" s="429"/>
      <c r="AF55" s="429"/>
      <c r="AG55" s="429"/>
      <c r="AH55" s="429"/>
      <c r="AI55" s="429"/>
      <c r="AJ55" s="429"/>
      <c r="AK55" s="429"/>
      <c r="AL55" s="429"/>
      <c r="AM55" s="429"/>
    </row>
    <row r="56" spans="1:39">
      <c r="A56" s="50"/>
      <c r="B56" s="52">
        <v>3820</v>
      </c>
      <c r="C56" s="53" t="s">
        <v>372</v>
      </c>
      <c r="D56" s="55" t="s">
        <v>392</v>
      </c>
      <c r="E56" s="53">
        <v>55</v>
      </c>
      <c r="F56" s="56" t="s">
        <v>393</v>
      </c>
      <c r="G56" s="57" t="s">
        <v>78</v>
      </c>
      <c r="H56" s="58">
        <v>300000</v>
      </c>
      <c r="I56" s="59"/>
      <c r="J56" s="60" t="s">
        <v>2393</v>
      </c>
      <c r="K56" s="623" t="s">
        <v>2393</v>
      </c>
      <c r="L56" s="62" t="s">
        <v>398</v>
      </c>
      <c r="M56" s="64"/>
      <c r="N56" s="65"/>
      <c r="O56" s="65"/>
      <c r="P56" s="65"/>
      <c r="Q56" s="65"/>
      <c r="R56" s="65"/>
      <c r="S56" s="65"/>
      <c r="T56" s="67">
        <v>20</v>
      </c>
      <c r="U56" s="67">
        <v>2573</v>
      </c>
      <c r="V56" s="68" t="s">
        <v>2166</v>
      </c>
      <c r="W56" s="69" t="e">
        <v>#REF!</v>
      </c>
      <c r="X56" s="70" t="s">
        <v>384</v>
      </c>
      <c r="Y56" s="70"/>
      <c r="Z56" s="70"/>
      <c r="AA56" s="429"/>
      <c r="AB56" s="429"/>
      <c r="AC56" s="429"/>
      <c r="AD56" s="429"/>
      <c r="AE56" s="429"/>
      <c r="AF56" s="429"/>
      <c r="AG56" s="429"/>
      <c r="AH56" s="429"/>
      <c r="AI56" s="429"/>
      <c r="AJ56" s="429"/>
      <c r="AK56" s="429"/>
      <c r="AL56" s="429"/>
      <c r="AM56" s="429"/>
    </row>
    <row r="57" spans="1:39">
      <c r="A57" s="50"/>
      <c r="B57" s="52">
        <v>3825</v>
      </c>
      <c r="C57" s="53" t="s">
        <v>63</v>
      </c>
      <c r="D57" s="55" t="s">
        <v>401</v>
      </c>
      <c r="E57" s="53">
        <v>53</v>
      </c>
      <c r="F57" s="56" t="s">
        <v>403</v>
      </c>
      <c r="G57" s="57" t="s">
        <v>78</v>
      </c>
      <c r="H57" s="58">
        <v>270000</v>
      </c>
      <c r="I57" s="59"/>
      <c r="J57" s="60" t="s">
        <v>2394</v>
      </c>
      <c r="K57" s="623" t="s">
        <v>2394</v>
      </c>
      <c r="L57" s="62"/>
      <c r="M57" s="64"/>
      <c r="N57" s="65"/>
      <c r="O57" s="65"/>
      <c r="P57" s="65"/>
      <c r="Q57" s="65"/>
      <c r="R57" s="65"/>
      <c r="S57" s="65"/>
      <c r="T57" s="67">
        <v>20</v>
      </c>
      <c r="U57" s="67">
        <v>2571</v>
      </c>
      <c r="V57" s="68" t="s">
        <v>2166</v>
      </c>
      <c r="W57" s="69" t="e">
        <v>#REF!</v>
      </c>
      <c r="X57" s="70"/>
      <c r="Y57" s="70"/>
      <c r="Z57" s="70"/>
      <c r="AA57" s="429"/>
      <c r="AB57" s="429"/>
      <c r="AC57" s="429"/>
      <c r="AD57" s="429"/>
      <c r="AE57" s="429"/>
      <c r="AF57" s="429"/>
      <c r="AG57" s="429"/>
      <c r="AH57" s="429"/>
      <c r="AI57" s="429"/>
      <c r="AJ57" s="429"/>
      <c r="AK57" s="429"/>
      <c r="AL57" s="429"/>
      <c r="AM57" s="429"/>
    </row>
    <row r="58" spans="1:39">
      <c r="A58" s="50"/>
      <c r="B58" s="52">
        <v>3825</v>
      </c>
      <c r="C58" s="53" t="s">
        <v>63</v>
      </c>
      <c r="D58" s="55" t="s">
        <v>412</v>
      </c>
      <c r="E58" s="53">
        <v>59</v>
      </c>
      <c r="F58" s="56" t="s">
        <v>413</v>
      </c>
      <c r="G58" s="57" t="s">
        <v>28</v>
      </c>
      <c r="H58" s="58">
        <v>15500000</v>
      </c>
      <c r="I58" s="59"/>
      <c r="J58" s="60" t="s">
        <v>2394</v>
      </c>
      <c r="K58" s="61"/>
      <c r="L58" s="62" t="s">
        <v>414</v>
      </c>
      <c r="M58" s="64"/>
      <c r="N58" s="65"/>
      <c r="O58" s="65"/>
      <c r="P58" s="65"/>
      <c r="Q58" s="65"/>
      <c r="R58" s="65"/>
      <c r="S58" s="65"/>
      <c r="T58" s="67"/>
      <c r="U58" s="67">
        <v>2557</v>
      </c>
      <c r="V58" s="68" t="s">
        <v>2166</v>
      </c>
      <c r="W58" s="69" t="e">
        <v>#REF!</v>
      </c>
      <c r="X58" s="70"/>
      <c r="Y58" s="70"/>
      <c r="Z58" s="70"/>
      <c r="AA58" s="429"/>
      <c r="AB58" s="429"/>
      <c r="AC58" s="429"/>
      <c r="AD58" s="429"/>
      <c r="AE58" s="429"/>
      <c r="AF58" s="429"/>
      <c r="AG58" s="429"/>
      <c r="AH58" s="429"/>
      <c r="AI58" s="429"/>
      <c r="AJ58" s="429"/>
      <c r="AK58" s="429"/>
      <c r="AL58" s="429"/>
      <c r="AM58" s="429"/>
    </row>
    <row r="59" spans="1:39">
      <c r="A59" s="50"/>
      <c r="B59" s="52">
        <v>3825</v>
      </c>
      <c r="C59" s="53" t="s">
        <v>63</v>
      </c>
      <c r="D59" s="55" t="s">
        <v>417</v>
      </c>
      <c r="E59" s="53">
        <v>56</v>
      </c>
      <c r="F59" s="56" t="s">
        <v>418</v>
      </c>
      <c r="G59" s="57" t="s">
        <v>28</v>
      </c>
      <c r="H59" s="58">
        <v>345000</v>
      </c>
      <c r="I59" s="59"/>
      <c r="J59" s="60" t="s">
        <v>2394</v>
      </c>
      <c r="K59" s="623" t="s">
        <v>2394</v>
      </c>
      <c r="L59" s="62"/>
      <c r="M59" s="64"/>
      <c r="N59" s="65"/>
      <c r="O59" s="65"/>
      <c r="P59" s="65"/>
      <c r="Q59" s="65"/>
      <c r="R59" s="65"/>
      <c r="S59" s="65"/>
      <c r="T59" s="67">
        <v>20</v>
      </c>
      <c r="U59" s="67">
        <v>2574</v>
      </c>
      <c r="V59" s="68" t="s">
        <v>2166</v>
      </c>
      <c r="W59" s="69" t="e">
        <v>#REF!</v>
      </c>
      <c r="X59" s="70"/>
      <c r="Y59" s="70"/>
      <c r="Z59" s="70"/>
      <c r="AA59" s="429"/>
      <c r="AB59" s="429"/>
      <c r="AC59" s="429"/>
      <c r="AD59" s="429"/>
      <c r="AE59" s="429"/>
      <c r="AF59" s="429"/>
      <c r="AG59" s="429"/>
      <c r="AH59" s="429"/>
      <c r="AI59" s="429"/>
      <c r="AJ59" s="429"/>
      <c r="AK59" s="429"/>
      <c r="AL59" s="429"/>
      <c r="AM59" s="429"/>
    </row>
    <row r="60" spans="1:39">
      <c r="A60" s="50"/>
      <c r="B60" s="52">
        <v>3825</v>
      </c>
      <c r="C60" s="53" t="s">
        <v>63</v>
      </c>
      <c r="D60" s="55" t="s">
        <v>429</v>
      </c>
      <c r="E60" s="53">
        <v>54</v>
      </c>
      <c r="F60" s="56" t="s">
        <v>430</v>
      </c>
      <c r="G60" s="57" t="s">
        <v>28</v>
      </c>
      <c r="H60" s="58">
        <v>2400000</v>
      </c>
      <c r="I60" s="59"/>
      <c r="J60" s="60" t="s">
        <v>2394</v>
      </c>
      <c r="K60" s="623" t="s">
        <v>2394</v>
      </c>
      <c r="L60" s="62"/>
      <c r="M60" s="64"/>
      <c r="N60" s="65"/>
      <c r="O60" s="65"/>
      <c r="P60" s="65"/>
      <c r="Q60" s="65"/>
      <c r="R60" s="65"/>
      <c r="S60" s="65"/>
      <c r="T60" s="67">
        <v>20</v>
      </c>
      <c r="U60" s="67">
        <v>2572</v>
      </c>
      <c r="V60" s="68" t="s">
        <v>2166</v>
      </c>
      <c r="W60" s="69" t="e">
        <v>#REF!</v>
      </c>
      <c r="X60" s="70"/>
      <c r="Y60" s="70"/>
      <c r="Z60" s="70"/>
      <c r="AA60" s="429"/>
      <c r="AB60" s="429"/>
      <c r="AC60" s="429"/>
      <c r="AD60" s="429"/>
      <c r="AE60" s="429"/>
      <c r="AF60" s="429"/>
      <c r="AG60" s="429"/>
      <c r="AH60" s="429"/>
      <c r="AI60" s="429"/>
      <c r="AJ60" s="429"/>
      <c r="AK60" s="429"/>
      <c r="AL60" s="429"/>
      <c r="AM60" s="429"/>
    </row>
    <row r="61" spans="1:39">
      <c r="A61" s="50"/>
      <c r="B61" s="52">
        <v>3895</v>
      </c>
      <c r="C61" s="53" t="s">
        <v>191</v>
      </c>
      <c r="D61" s="55" t="s">
        <v>434</v>
      </c>
      <c r="E61" s="53">
        <v>55</v>
      </c>
      <c r="F61" s="56" t="s">
        <v>435</v>
      </c>
      <c r="G61" s="57" t="s">
        <v>78</v>
      </c>
      <c r="H61" s="58">
        <v>300000</v>
      </c>
      <c r="I61" s="59"/>
      <c r="J61" s="60" t="s">
        <v>2395</v>
      </c>
      <c r="K61" s="623" t="s">
        <v>2395</v>
      </c>
      <c r="L61" s="62"/>
      <c r="M61" s="64"/>
      <c r="N61" s="65"/>
      <c r="O61" s="65"/>
      <c r="P61" s="65"/>
      <c r="Q61" s="65"/>
      <c r="R61" s="65"/>
      <c r="S61" s="65"/>
      <c r="T61" s="67">
        <v>20</v>
      </c>
      <c r="U61" s="67">
        <v>2573</v>
      </c>
      <c r="V61" s="68" t="s">
        <v>2166</v>
      </c>
      <c r="W61" s="69" t="e">
        <v>#REF!</v>
      </c>
      <c r="X61" s="70"/>
      <c r="Y61" s="70"/>
      <c r="Z61" s="70"/>
      <c r="AA61" s="429"/>
      <c r="AB61" s="429"/>
      <c r="AC61" s="429"/>
      <c r="AD61" s="429"/>
      <c r="AE61" s="429"/>
      <c r="AF61" s="429"/>
      <c r="AG61" s="429"/>
      <c r="AH61" s="429"/>
      <c r="AI61" s="429"/>
      <c r="AJ61" s="429"/>
      <c r="AK61" s="429"/>
      <c r="AL61" s="429"/>
      <c r="AM61" s="429"/>
    </row>
    <row r="62" spans="1:39">
      <c r="A62" s="37"/>
      <c r="B62" s="37">
        <v>3900</v>
      </c>
      <c r="C62" s="625"/>
      <c r="D62" s="626" t="s">
        <v>4083</v>
      </c>
      <c r="E62" s="621"/>
      <c r="F62" s="621"/>
      <c r="G62" s="90"/>
      <c r="H62" s="37"/>
      <c r="I62" s="37"/>
      <c r="J62" s="498"/>
      <c r="K62" s="621"/>
      <c r="L62" s="621"/>
      <c r="M62" s="91"/>
      <c r="N62" s="90"/>
      <c r="O62" s="37"/>
      <c r="P62" s="37"/>
      <c r="Q62" s="498"/>
      <c r="R62" s="621"/>
      <c r="S62" s="621"/>
      <c r="T62" s="91"/>
      <c r="U62" s="90"/>
      <c r="V62" s="37" t="s">
        <v>2169</v>
      </c>
      <c r="W62" s="37">
        <v>16</v>
      </c>
      <c r="X62" s="498"/>
      <c r="Y62" s="621"/>
      <c r="Z62" s="621"/>
      <c r="AA62" s="428"/>
      <c r="AB62" s="428"/>
      <c r="AC62" s="428"/>
      <c r="AD62" s="428"/>
      <c r="AE62" s="428"/>
      <c r="AF62" s="428"/>
      <c r="AG62" s="428"/>
      <c r="AH62" s="428"/>
      <c r="AI62" s="428"/>
      <c r="AJ62" s="428"/>
      <c r="AK62" s="428"/>
      <c r="AL62" s="428"/>
      <c r="AM62" s="428"/>
    </row>
    <row r="63" spans="1:39">
      <c r="A63" s="50"/>
      <c r="B63" s="52">
        <v>3930</v>
      </c>
      <c r="C63" s="352" t="s">
        <v>63</v>
      </c>
      <c r="D63" s="353" t="s">
        <v>450</v>
      </c>
      <c r="E63" s="352">
        <v>58</v>
      </c>
      <c r="F63" s="354" t="s">
        <v>451</v>
      </c>
      <c r="G63" s="355" t="s">
        <v>28</v>
      </c>
      <c r="H63" s="356">
        <v>1035000</v>
      </c>
      <c r="I63" s="357"/>
      <c r="J63" s="60" t="s">
        <v>2397</v>
      </c>
      <c r="K63" s="623" t="s">
        <v>2397</v>
      </c>
      <c r="L63" s="62"/>
      <c r="M63" s="64"/>
      <c r="N63" s="65"/>
      <c r="O63" s="65"/>
      <c r="P63" s="65"/>
      <c r="Q63" s="65"/>
      <c r="R63" s="65"/>
      <c r="S63" s="65"/>
      <c r="T63" s="67"/>
      <c r="U63" s="67">
        <v>2556</v>
      </c>
      <c r="V63" s="68" t="s">
        <v>2169</v>
      </c>
      <c r="W63" s="69" t="e">
        <v>#REF!</v>
      </c>
      <c r="X63" s="70"/>
      <c r="Y63" s="70"/>
      <c r="Z63" s="70"/>
      <c r="AA63" s="429"/>
      <c r="AB63" s="429"/>
      <c r="AC63" s="429"/>
      <c r="AD63" s="429"/>
      <c r="AE63" s="429"/>
      <c r="AF63" s="429"/>
      <c r="AG63" s="429"/>
      <c r="AH63" s="429"/>
      <c r="AI63" s="429"/>
      <c r="AJ63" s="429"/>
      <c r="AK63" s="429"/>
      <c r="AL63" s="429"/>
      <c r="AM63" s="429"/>
    </row>
    <row r="64" spans="1:39" ht="18.75" customHeight="1">
      <c r="A64" s="50"/>
      <c r="B64" s="52">
        <v>3960</v>
      </c>
      <c r="C64" s="352" t="s">
        <v>157</v>
      </c>
      <c r="D64" s="353" t="s">
        <v>550</v>
      </c>
      <c r="E64" s="352">
        <v>59</v>
      </c>
      <c r="F64" s="354" t="s">
        <v>551</v>
      </c>
      <c r="G64" s="355" t="s">
        <v>78</v>
      </c>
      <c r="H64" s="356">
        <v>1200000</v>
      </c>
      <c r="I64" s="357"/>
      <c r="J64" s="60" t="s">
        <v>2400</v>
      </c>
      <c r="K64" s="623" t="s">
        <v>2400</v>
      </c>
      <c r="L64" s="62"/>
      <c r="M64" s="64"/>
      <c r="N64" s="65"/>
      <c r="O64" s="65"/>
      <c r="P64" s="65"/>
      <c r="Q64" s="65"/>
      <c r="R64" s="65"/>
      <c r="S64" s="65"/>
      <c r="T64" s="67"/>
      <c r="U64" s="67"/>
      <c r="V64" s="68"/>
      <c r="W64" s="69"/>
      <c r="X64" s="70"/>
      <c r="Y64" s="70"/>
      <c r="Z64" s="70"/>
      <c r="AA64" s="429"/>
      <c r="AB64" s="429"/>
      <c r="AC64" s="429"/>
      <c r="AD64" s="429"/>
      <c r="AE64" s="429"/>
      <c r="AF64" s="429"/>
      <c r="AG64" s="429"/>
      <c r="AH64" s="429"/>
      <c r="AI64" s="429"/>
      <c r="AJ64" s="429"/>
      <c r="AK64" s="429"/>
      <c r="AL64" s="429"/>
      <c r="AM64" s="429"/>
    </row>
    <row r="65" spans="1:39">
      <c r="A65" s="50"/>
      <c r="B65" s="52">
        <v>3930</v>
      </c>
      <c r="C65" s="53" t="s">
        <v>63</v>
      </c>
      <c r="D65" s="55" t="s">
        <v>458</v>
      </c>
      <c r="E65" s="53">
        <v>57</v>
      </c>
      <c r="F65" s="56" t="s">
        <v>459</v>
      </c>
      <c r="G65" s="57" t="s">
        <v>28</v>
      </c>
      <c r="H65" s="58">
        <v>200000</v>
      </c>
      <c r="I65" s="59"/>
      <c r="J65" s="60">
        <v>3930</v>
      </c>
      <c r="K65" s="623" t="s">
        <v>2397</v>
      </c>
      <c r="L65" s="62"/>
      <c r="M65" s="64"/>
      <c r="N65" s="65"/>
      <c r="O65" s="65"/>
      <c r="P65" s="65"/>
      <c r="Q65" s="65"/>
      <c r="R65" s="65"/>
      <c r="S65" s="65"/>
      <c r="T65" s="67">
        <v>20</v>
      </c>
      <c r="U65" s="67">
        <v>2575</v>
      </c>
      <c r="V65" s="68" t="s">
        <v>2169</v>
      </c>
      <c r="W65" s="69" t="e">
        <v>#REF!</v>
      </c>
      <c r="X65" s="70"/>
      <c r="Y65" s="70"/>
      <c r="Z65" s="70"/>
      <c r="AA65" s="429"/>
      <c r="AB65" s="429"/>
      <c r="AC65" s="429"/>
      <c r="AD65" s="429"/>
      <c r="AE65" s="429"/>
      <c r="AF65" s="429"/>
      <c r="AG65" s="429"/>
      <c r="AH65" s="429"/>
      <c r="AI65" s="429"/>
      <c r="AJ65" s="429"/>
      <c r="AK65" s="429"/>
      <c r="AL65" s="429"/>
      <c r="AM65" s="429"/>
    </row>
    <row r="66" spans="1:39">
      <c r="A66" s="50"/>
      <c r="B66" s="52">
        <v>3930</v>
      </c>
      <c r="C66" s="53" t="s">
        <v>63</v>
      </c>
      <c r="D66" s="55" t="s">
        <v>471</v>
      </c>
      <c r="E66" s="53">
        <v>59</v>
      </c>
      <c r="F66" s="56" t="s">
        <v>473</v>
      </c>
      <c r="G66" s="57" t="s">
        <v>28</v>
      </c>
      <c r="H66" s="58">
        <v>760000</v>
      </c>
      <c r="I66" s="59"/>
      <c r="J66" s="60" t="s">
        <v>2397</v>
      </c>
      <c r="K66" s="61"/>
      <c r="L66" s="62"/>
      <c r="M66" s="64"/>
      <c r="N66" s="65"/>
      <c r="O66" s="65"/>
      <c r="P66" s="65"/>
      <c r="Q66" s="65"/>
      <c r="R66" s="65"/>
      <c r="S66" s="65"/>
      <c r="T66" s="67"/>
      <c r="U66" s="67"/>
      <c r="V66" s="68"/>
      <c r="W66" s="69"/>
      <c r="X66" s="70"/>
      <c r="Y66" s="70"/>
      <c r="Z66" s="70"/>
      <c r="AA66" s="429"/>
      <c r="AB66" s="429"/>
      <c r="AC66" s="429"/>
      <c r="AD66" s="429"/>
      <c r="AE66" s="429"/>
      <c r="AF66" s="429"/>
      <c r="AG66" s="429"/>
      <c r="AH66" s="429"/>
      <c r="AI66" s="429"/>
      <c r="AJ66" s="429"/>
      <c r="AK66" s="429"/>
      <c r="AL66" s="429"/>
      <c r="AM66" s="429"/>
    </row>
    <row r="67" spans="1:39">
      <c r="A67" s="50"/>
      <c r="B67" s="52">
        <v>3930</v>
      </c>
      <c r="C67" s="53" t="s">
        <v>63</v>
      </c>
      <c r="D67" s="55" t="s">
        <v>478</v>
      </c>
      <c r="E67" s="53">
        <v>57</v>
      </c>
      <c r="F67" s="56" t="s">
        <v>479</v>
      </c>
      <c r="G67" s="57" t="s">
        <v>28</v>
      </c>
      <c r="H67" s="58">
        <v>960000</v>
      </c>
      <c r="I67" s="59"/>
      <c r="J67" s="60" t="s">
        <v>2397</v>
      </c>
      <c r="K67" s="623" t="s">
        <v>2397</v>
      </c>
      <c r="L67" s="62"/>
      <c r="M67" s="64"/>
      <c r="N67" s="65"/>
      <c r="O67" s="65"/>
      <c r="P67" s="65"/>
      <c r="Q67" s="65"/>
      <c r="R67" s="65"/>
      <c r="S67" s="65"/>
      <c r="T67" s="67"/>
      <c r="U67" s="67">
        <v>2558</v>
      </c>
      <c r="V67" s="68" t="s">
        <v>2169</v>
      </c>
      <c r="W67" s="69" t="e">
        <v>#REF!</v>
      </c>
      <c r="X67" s="70"/>
      <c r="Y67" s="70"/>
      <c r="Z67" s="70"/>
      <c r="AA67" s="429"/>
      <c r="AB67" s="429"/>
      <c r="AC67" s="429"/>
      <c r="AD67" s="429"/>
      <c r="AE67" s="429"/>
      <c r="AF67" s="429"/>
      <c r="AG67" s="429"/>
      <c r="AH67" s="429"/>
      <c r="AI67" s="429"/>
      <c r="AJ67" s="429"/>
      <c r="AK67" s="429"/>
      <c r="AL67" s="429"/>
      <c r="AM67" s="429"/>
    </row>
    <row r="68" spans="1:39">
      <c r="A68" s="50"/>
      <c r="B68" s="52">
        <v>3930</v>
      </c>
      <c r="C68" s="53" t="s">
        <v>63</v>
      </c>
      <c r="D68" s="55" t="s">
        <v>466</v>
      </c>
      <c r="E68" s="53">
        <v>60</v>
      </c>
      <c r="F68" s="56" t="s">
        <v>467</v>
      </c>
      <c r="G68" s="57" t="s">
        <v>28</v>
      </c>
      <c r="H68" s="58">
        <v>1800000</v>
      </c>
      <c r="I68" s="59"/>
      <c r="J68" s="60" t="s">
        <v>2397</v>
      </c>
      <c r="K68" s="61"/>
      <c r="L68" s="62"/>
      <c r="M68" s="64"/>
      <c r="N68" s="65"/>
      <c r="O68" s="65"/>
      <c r="P68" s="65"/>
      <c r="Q68" s="65"/>
      <c r="R68" s="65"/>
      <c r="S68" s="65"/>
      <c r="T68" s="67"/>
      <c r="U68" s="67">
        <v>2557</v>
      </c>
      <c r="V68" s="68" t="s">
        <v>2169</v>
      </c>
      <c r="W68" s="69" t="e">
        <v>#REF!</v>
      </c>
      <c r="X68" s="70"/>
      <c r="Y68" s="70"/>
      <c r="Z68" s="70"/>
      <c r="AA68" s="429"/>
      <c r="AB68" s="429"/>
      <c r="AC68" s="429"/>
      <c r="AD68" s="429"/>
      <c r="AE68" s="429"/>
      <c r="AF68" s="429"/>
      <c r="AG68" s="429"/>
      <c r="AH68" s="429"/>
      <c r="AI68" s="429"/>
      <c r="AJ68" s="429"/>
      <c r="AK68" s="429"/>
      <c r="AL68" s="429"/>
      <c r="AM68" s="429"/>
    </row>
    <row r="69" spans="1:39">
      <c r="A69" s="50"/>
      <c r="B69" s="52">
        <v>3930</v>
      </c>
      <c r="C69" s="53" t="s">
        <v>63</v>
      </c>
      <c r="D69" s="55" t="s">
        <v>489</v>
      </c>
      <c r="E69" s="53">
        <v>58</v>
      </c>
      <c r="F69" s="56" t="s">
        <v>490</v>
      </c>
      <c r="G69" s="57" t="s">
        <v>28</v>
      </c>
      <c r="H69" s="58">
        <v>760000</v>
      </c>
      <c r="I69" s="59"/>
      <c r="J69" s="60" t="s">
        <v>2397</v>
      </c>
      <c r="K69" s="623" t="s">
        <v>2397</v>
      </c>
      <c r="L69" s="62"/>
      <c r="M69" s="64"/>
      <c r="N69" s="65"/>
      <c r="O69" s="65"/>
      <c r="P69" s="65"/>
      <c r="Q69" s="65"/>
      <c r="R69" s="65"/>
      <c r="S69" s="65"/>
      <c r="T69" s="67">
        <v>20</v>
      </c>
      <c r="U69" s="67">
        <v>2575</v>
      </c>
      <c r="V69" s="68" t="s">
        <v>2169</v>
      </c>
      <c r="W69" s="69" t="e">
        <v>#REF!</v>
      </c>
      <c r="X69" s="70"/>
      <c r="Y69" s="70"/>
      <c r="Z69" s="70"/>
      <c r="AA69" s="429"/>
      <c r="AB69" s="429"/>
      <c r="AC69" s="429"/>
      <c r="AD69" s="429"/>
      <c r="AE69" s="429"/>
      <c r="AF69" s="429"/>
      <c r="AG69" s="429"/>
      <c r="AH69" s="429"/>
      <c r="AI69" s="429"/>
      <c r="AJ69" s="429"/>
      <c r="AK69" s="429"/>
      <c r="AL69" s="429"/>
      <c r="AM69" s="429"/>
    </row>
    <row r="70" spans="1:39">
      <c r="A70" s="50"/>
      <c r="B70" s="52">
        <v>3930</v>
      </c>
      <c r="C70" s="53" t="s">
        <v>63</v>
      </c>
      <c r="D70" s="55" t="s">
        <v>496</v>
      </c>
      <c r="E70" s="53">
        <v>54</v>
      </c>
      <c r="F70" s="56" t="s">
        <v>498</v>
      </c>
      <c r="G70" s="57" t="s">
        <v>28</v>
      </c>
      <c r="H70" s="58">
        <v>1200000</v>
      </c>
      <c r="I70" s="59"/>
      <c r="J70" s="60" t="s">
        <v>2397</v>
      </c>
      <c r="K70" s="623" t="s">
        <v>2397</v>
      </c>
      <c r="L70" s="62"/>
      <c r="M70" s="64"/>
      <c r="N70" s="65"/>
      <c r="O70" s="65"/>
      <c r="P70" s="65"/>
      <c r="Q70" s="65"/>
      <c r="R70" s="65"/>
      <c r="S70" s="65"/>
      <c r="T70" s="67">
        <v>20</v>
      </c>
      <c r="U70" s="67">
        <v>2576</v>
      </c>
      <c r="V70" s="68" t="s">
        <v>2169</v>
      </c>
      <c r="W70" s="69" t="e">
        <v>#REF!</v>
      </c>
      <c r="X70" s="70"/>
      <c r="Y70" s="70"/>
      <c r="Z70" s="70"/>
      <c r="AA70" s="429"/>
      <c r="AB70" s="429"/>
      <c r="AC70" s="429"/>
      <c r="AD70" s="429"/>
      <c r="AE70" s="429"/>
      <c r="AF70" s="429"/>
      <c r="AG70" s="429"/>
      <c r="AH70" s="429"/>
      <c r="AI70" s="429"/>
      <c r="AJ70" s="429"/>
      <c r="AK70" s="429"/>
      <c r="AL70" s="429"/>
      <c r="AM70" s="429"/>
    </row>
    <row r="71" spans="1:39">
      <c r="A71" s="50"/>
      <c r="B71" s="52">
        <v>3930</v>
      </c>
      <c r="C71" s="53" t="s">
        <v>157</v>
      </c>
      <c r="D71" s="55" t="s">
        <v>503</v>
      </c>
      <c r="E71" s="53">
        <v>62</v>
      </c>
      <c r="F71" s="56" t="s">
        <v>504</v>
      </c>
      <c r="G71" s="57" t="s">
        <v>28</v>
      </c>
      <c r="H71" s="58">
        <v>590000</v>
      </c>
      <c r="I71" s="59"/>
      <c r="J71" s="60" t="s">
        <v>2397</v>
      </c>
      <c r="K71" s="61"/>
      <c r="L71" s="62"/>
      <c r="M71" s="64"/>
      <c r="N71" s="65"/>
      <c r="O71" s="65"/>
      <c r="P71" s="65"/>
      <c r="Q71" s="65"/>
      <c r="R71" s="65"/>
      <c r="S71" s="65"/>
      <c r="T71" s="67"/>
      <c r="U71" s="67"/>
      <c r="V71" s="68" t="s">
        <v>2169</v>
      </c>
      <c r="W71" s="69" t="e">
        <v>#REF!</v>
      </c>
      <c r="X71" s="70"/>
      <c r="Y71" s="70"/>
      <c r="Z71" s="70"/>
      <c r="AA71" s="429"/>
      <c r="AB71" s="429"/>
      <c r="AC71" s="429"/>
      <c r="AD71" s="429"/>
      <c r="AE71" s="429"/>
      <c r="AF71" s="429"/>
      <c r="AG71" s="429"/>
      <c r="AH71" s="429"/>
      <c r="AI71" s="429"/>
      <c r="AJ71" s="429"/>
      <c r="AK71" s="429"/>
      <c r="AL71" s="429"/>
      <c r="AM71" s="429"/>
    </row>
    <row r="72" spans="1:39">
      <c r="A72" s="50"/>
      <c r="B72" s="52">
        <v>3930</v>
      </c>
      <c r="C72" s="53" t="s">
        <v>63</v>
      </c>
      <c r="D72" s="55" t="s">
        <v>511</v>
      </c>
      <c r="E72" s="53">
        <v>55</v>
      </c>
      <c r="F72" s="56" t="s">
        <v>512</v>
      </c>
      <c r="G72" s="57" t="s">
        <v>28</v>
      </c>
      <c r="H72" s="58">
        <v>1100000</v>
      </c>
      <c r="I72" s="59"/>
      <c r="J72" s="60" t="s">
        <v>2397</v>
      </c>
      <c r="K72" s="623" t="s">
        <v>2397</v>
      </c>
      <c r="L72" s="62"/>
      <c r="M72" s="64"/>
      <c r="N72" s="65"/>
      <c r="O72" s="65"/>
      <c r="P72" s="65"/>
      <c r="Q72" s="65"/>
      <c r="R72" s="65"/>
      <c r="S72" s="65"/>
      <c r="T72" s="67">
        <v>20</v>
      </c>
      <c r="U72" s="67">
        <v>2573</v>
      </c>
      <c r="V72" s="68" t="s">
        <v>2169</v>
      </c>
      <c r="W72" s="69" t="e">
        <v>#REF!</v>
      </c>
      <c r="X72" s="70"/>
      <c r="Y72" s="70"/>
      <c r="Z72" s="70"/>
      <c r="AA72" s="429"/>
      <c r="AB72" s="429"/>
      <c r="AC72" s="429"/>
      <c r="AD72" s="429"/>
      <c r="AE72" s="429"/>
      <c r="AF72" s="429"/>
      <c r="AG72" s="429"/>
      <c r="AH72" s="429"/>
      <c r="AI72" s="429"/>
      <c r="AJ72" s="429"/>
      <c r="AK72" s="429"/>
      <c r="AL72" s="429"/>
      <c r="AM72" s="429"/>
    </row>
    <row r="73" spans="1:39">
      <c r="A73" s="50"/>
      <c r="B73" s="52">
        <v>3930</v>
      </c>
      <c r="C73" s="53" t="s">
        <v>63</v>
      </c>
      <c r="D73" s="55" t="s">
        <v>515</v>
      </c>
      <c r="E73" s="53">
        <v>58</v>
      </c>
      <c r="F73" s="56" t="s">
        <v>516</v>
      </c>
      <c r="G73" s="57" t="s">
        <v>28</v>
      </c>
      <c r="H73" s="58">
        <v>1330000</v>
      </c>
      <c r="I73" s="59"/>
      <c r="J73" s="60" t="s">
        <v>2397</v>
      </c>
      <c r="K73" s="623" t="s">
        <v>2397</v>
      </c>
      <c r="L73" s="62"/>
      <c r="M73" s="64"/>
      <c r="N73" s="65"/>
      <c r="O73" s="65"/>
      <c r="P73" s="65"/>
      <c r="Q73" s="65"/>
      <c r="R73" s="65"/>
      <c r="S73" s="65"/>
      <c r="T73" s="67"/>
      <c r="U73" s="67">
        <v>2556</v>
      </c>
      <c r="V73" s="68" t="s">
        <v>2169</v>
      </c>
      <c r="W73" s="69" t="e">
        <v>#REF!</v>
      </c>
      <c r="X73" s="70"/>
      <c r="Y73" s="70"/>
      <c r="Z73" s="70"/>
      <c r="AA73" s="429"/>
      <c r="AB73" s="429"/>
      <c r="AC73" s="429"/>
      <c r="AD73" s="429"/>
      <c r="AE73" s="429"/>
      <c r="AF73" s="429"/>
      <c r="AG73" s="429"/>
      <c r="AH73" s="429"/>
      <c r="AI73" s="429"/>
      <c r="AJ73" s="429"/>
      <c r="AK73" s="429"/>
      <c r="AL73" s="429"/>
      <c r="AM73" s="429"/>
    </row>
    <row r="74" spans="1:39">
      <c r="A74" s="50"/>
      <c r="B74" s="52">
        <v>3940</v>
      </c>
      <c r="C74" s="53" t="s">
        <v>157</v>
      </c>
      <c r="D74" s="55" t="s">
        <v>519</v>
      </c>
      <c r="E74" s="53">
        <v>53</v>
      </c>
      <c r="F74" s="56" t="s">
        <v>520</v>
      </c>
      <c r="G74" s="57" t="s">
        <v>48</v>
      </c>
      <c r="H74" s="58">
        <v>4500</v>
      </c>
      <c r="I74" s="59"/>
      <c r="J74" s="60" t="s">
        <v>2398</v>
      </c>
      <c r="K74" s="623" t="s">
        <v>2398</v>
      </c>
      <c r="L74" s="62"/>
      <c r="M74" s="64"/>
      <c r="N74" s="65"/>
      <c r="O74" s="65"/>
      <c r="P74" s="65"/>
      <c r="Q74" s="65"/>
      <c r="R74" s="65"/>
      <c r="S74" s="65"/>
      <c r="T74" s="67">
        <v>20</v>
      </c>
      <c r="U74" s="67">
        <v>2571</v>
      </c>
      <c r="V74" s="68" t="s">
        <v>2169</v>
      </c>
      <c r="W74" s="69" t="e">
        <v>#REF!</v>
      </c>
      <c r="X74" s="70"/>
      <c r="Y74" s="70"/>
      <c r="Z74" s="70"/>
      <c r="AA74" s="429"/>
      <c r="AB74" s="429"/>
      <c r="AC74" s="429"/>
      <c r="AD74" s="429"/>
      <c r="AE74" s="429"/>
      <c r="AF74" s="429"/>
      <c r="AG74" s="429"/>
      <c r="AH74" s="429"/>
      <c r="AI74" s="429"/>
      <c r="AJ74" s="429"/>
      <c r="AK74" s="429"/>
      <c r="AL74" s="429"/>
      <c r="AM74" s="429"/>
    </row>
    <row r="75" spans="1:39">
      <c r="A75" s="50"/>
      <c r="B75" s="52">
        <v>3940</v>
      </c>
      <c r="C75" s="53" t="s">
        <v>157</v>
      </c>
      <c r="D75" s="55" t="s">
        <v>525</v>
      </c>
      <c r="E75" s="53">
        <v>58</v>
      </c>
      <c r="F75" s="56" t="s">
        <v>526</v>
      </c>
      <c r="G75" s="57" t="s">
        <v>48</v>
      </c>
      <c r="H75" s="58">
        <v>13000</v>
      </c>
      <c r="I75" s="59"/>
      <c r="J75" s="60" t="s">
        <v>2398</v>
      </c>
      <c r="K75" s="623" t="s">
        <v>2398</v>
      </c>
      <c r="L75" s="62"/>
      <c r="M75" s="64"/>
      <c r="N75" s="65"/>
      <c r="O75" s="65"/>
      <c r="P75" s="65"/>
      <c r="Q75" s="65"/>
      <c r="R75" s="65"/>
      <c r="S75" s="65"/>
      <c r="T75" s="67">
        <v>20</v>
      </c>
      <c r="U75" s="67">
        <v>2576</v>
      </c>
      <c r="V75" s="68" t="s">
        <v>2169</v>
      </c>
      <c r="W75" s="69" t="e">
        <v>#REF!</v>
      </c>
      <c r="X75" s="70"/>
      <c r="Y75" s="70"/>
      <c r="Z75" s="70"/>
      <c r="AA75" s="429"/>
      <c r="AB75" s="429"/>
      <c r="AC75" s="429"/>
      <c r="AD75" s="429"/>
      <c r="AE75" s="429"/>
      <c r="AF75" s="429"/>
      <c r="AG75" s="429"/>
      <c r="AH75" s="429"/>
      <c r="AI75" s="429"/>
      <c r="AJ75" s="429"/>
      <c r="AK75" s="429"/>
      <c r="AL75" s="429"/>
      <c r="AM75" s="429"/>
    </row>
    <row r="76" spans="1:39">
      <c r="A76" s="50"/>
      <c r="B76" s="52">
        <v>3940</v>
      </c>
      <c r="C76" s="53" t="s">
        <v>157</v>
      </c>
      <c r="D76" s="55" t="s">
        <v>535</v>
      </c>
      <c r="E76" s="53">
        <v>55</v>
      </c>
      <c r="F76" s="56" t="s">
        <v>536</v>
      </c>
      <c r="G76" s="57" t="s">
        <v>537</v>
      </c>
      <c r="H76" s="58">
        <v>35000</v>
      </c>
      <c r="I76" s="59"/>
      <c r="J76" s="60" t="s">
        <v>2398</v>
      </c>
      <c r="K76" s="623" t="s">
        <v>2398</v>
      </c>
      <c r="L76" s="62"/>
      <c r="M76" s="64"/>
      <c r="N76" s="65"/>
      <c r="O76" s="65"/>
      <c r="P76" s="65"/>
      <c r="Q76" s="65"/>
      <c r="R76" s="65"/>
      <c r="S76" s="65"/>
      <c r="T76" s="67"/>
      <c r="U76" s="67"/>
      <c r="V76" s="68"/>
      <c r="W76" s="69"/>
      <c r="X76" s="70"/>
      <c r="Y76" s="70"/>
      <c r="Z76" s="70"/>
      <c r="AA76" s="429"/>
      <c r="AB76" s="429"/>
      <c r="AC76" s="429"/>
      <c r="AD76" s="429"/>
      <c r="AE76" s="429"/>
      <c r="AF76" s="429"/>
      <c r="AG76" s="429"/>
      <c r="AH76" s="429"/>
      <c r="AI76" s="429"/>
      <c r="AJ76" s="429"/>
      <c r="AK76" s="429"/>
      <c r="AL76" s="429"/>
      <c r="AM76" s="429"/>
    </row>
    <row r="77" spans="1:39">
      <c r="A77" s="50"/>
      <c r="B77" s="52">
        <v>3940</v>
      </c>
      <c r="C77" s="53" t="s">
        <v>37</v>
      </c>
      <c r="D77" s="55" t="s">
        <v>529</v>
      </c>
      <c r="E77" s="53">
        <v>55</v>
      </c>
      <c r="F77" s="56" t="s">
        <v>531</v>
      </c>
      <c r="G77" s="57" t="s">
        <v>53</v>
      </c>
      <c r="H77" s="58">
        <v>12500</v>
      </c>
      <c r="I77" s="59"/>
      <c r="J77" s="60" t="s">
        <v>2398</v>
      </c>
      <c r="K77" s="623" t="s">
        <v>2398</v>
      </c>
      <c r="L77" s="62"/>
      <c r="M77" s="64"/>
      <c r="N77" s="65"/>
      <c r="O77" s="65"/>
      <c r="P77" s="65"/>
      <c r="Q77" s="65"/>
      <c r="R77" s="65"/>
      <c r="S77" s="65"/>
      <c r="T77" s="67">
        <v>20</v>
      </c>
      <c r="U77" s="67">
        <v>2573</v>
      </c>
      <c r="V77" s="68" t="s">
        <v>2169</v>
      </c>
      <c r="W77" s="69" t="e">
        <v>#REF!</v>
      </c>
      <c r="X77" s="70"/>
      <c r="Y77" s="70"/>
      <c r="Z77" s="70"/>
      <c r="AA77" s="429"/>
      <c r="AB77" s="429"/>
      <c r="AC77" s="429"/>
      <c r="AD77" s="429"/>
      <c r="AE77" s="429"/>
      <c r="AF77" s="429"/>
      <c r="AG77" s="429"/>
      <c r="AH77" s="429"/>
      <c r="AI77" s="429"/>
      <c r="AJ77" s="429"/>
      <c r="AK77" s="429"/>
      <c r="AL77" s="429"/>
      <c r="AM77" s="429"/>
    </row>
    <row r="78" spans="1:39">
      <c r="A78" s="50"/>
      <c r="B78" s="52">
        <v>3950</v>
      </c>
      <c r="C78" s="53" t="s">
        <v>372</v>
      </c>
      <c r="D78" s="55" t="s">
        <v>542</v>
      </c>
      <c r="E78" s="53">
        <v>58</v>
      </c>
      <c r="F78" s="56" t="s">
        <v>543</v>
      </c>
      <c r="G78" s="57" t="s">
        <v>78</v>
      </c>
      <c r="H78" s="58">
        <v>8000000</v>
      </c>
      <c r="I78" s="59"/>
      <c r="J78" s="60" t="s">
        <v>2399</v>
      </c>
      <c r="K78" s="623" t="s">
        <v>2399</v>
      </c>
      <c r="L78" s="62" t="s">
        <v>546</v>
      </c>
      <c r="M78" s="64"/>
      <c r="N78" s="65"/>
      <c r="O78" s="65"/>
      <c r="P78" s="65"/>
      <c r="Q78" s="65"/>
      <c r="R78" s="65"/>
      <c r="S78" s="65"/>
      <c r="T78" s="67"/>
      <c r="U78" s="67">
        <v>2556</v>
      </c>
      <c r="V78" s="68" t="s">
        <v>2169</v>
      </c>
      <c r="W78" s="69" t="e">
        <v>#REF!</v>
      </c>
      <c r="X78" s="70" t="s">
        <v>548</v>
      </c>
      <c r="Y78" s="70"/>
      <c r="Z78" s="70"/>
      <c r="AA78" s="429"/>
      <c r="AB78" s="429"/>
      <c r="AC78" s="429"/>
      <c r="AD78" s="429"/>
      <c r="AE78" s="429"/>
      <c r="AF78" s="429"/>
      <c r="AG78" s="429"/>
      <c r="AH78" s="429"/>
      <c r="AI78" s="429"/>
      <c r="AJ78" s="429"/>
      <c r="AK78" s="429"/>
      <c r="AL78" s="429"/>
      <c r="AM78" s="429"/>
    </row>
    <row r="79" spans="1:39">
      <c r="A79" s="37"/>
      <c r="B79" s="37">
        <v>4100</v>
      </c>
      <c r="C79" s="625"/>
      <c r="D79" s="626" t="s">
        <v>4084</v>
      </c>
      <c r="E79" s="621"/>
      <c r="F79" s="621"/>
      <c r="G79" s="90"/>
      <c r="H79" s="37"/>
      <c r="I79" s="37"/>
      <c r="J79" s="498"/>
      <c r="K79" s="621"/>
      <c r="L79" s="621"/>
      <c r="M79" s="91"/>
      <c r="N79" s="90"/>
      <c r="O79" s="37"/>
      <c r="P79" s="37"/>
      <c r="Q79" s="498"/>
      <c r="R79" s="621"/>
      <c r="S79" s="621"/>
      <c r="T79" s="91"/>
      <c r="U79" s="90"/>
      <c r="V79" s="37" t="s">
        <v>2174</v>
      </c>
      <c r="W79" s="37">
        <v>27</v>
      </c>
      <c r="X79" s="498"/>
      <c r="Y79" s="621"/>
      <c r="Z79" s="621"/>
      <c r="AA79" s="428"/>
      <c r="AB79" s="428"/>
      <c r="AC79" s="428"/>
      <c r="AD79" s="428"/>
      <c r="AE79" s="428"/>
      <c r="AF79" s="428"/>
      <c r="AG79" s="428"/>
      <c r="AH79" s="428"/>
      <c r="AI79" s="428"/>
      <c r="AJ79" s="428"/>
      <c r="AK79" s="428"/>
      <c r="AL79" s="428"/>
      <c r="AM79" s="428"/>
    </row>
    <row r="80" spans="1:39">
      <c r="A80" s="351"/>
      <c r="B80" s="52">
        <v>4120</v>
      </c>
      <c r="C80" s="53" t="s">
        <v>157</v>
      </c>
      <c r="D80" s="55" t="s">
        <v>571</v>
      </c>
      <c r="E80" s="53">
        <v>62</v>
      </c>
      <c r="F80" s="56" t="s">
        <v>573</v>
      </c>
      <c r="G80" s="57" t="s">
        <v>78</v>
      </c>
      <c r="H80" s="58">
        <v>4500000</v>
      </c>
      <c r="I80" s="59"/>
      <c r="J80" s="60" t="s">
        <v>2403</v>
      </c>
      <c r="K80" s="627"/>
      <c r="L80" s="627"/>
      <c r="M80" s="91"/>
      <c r="N80" s="90"/>
      <c r="O80" s="37"/>
      <c r="P80" s="37"/>
      <c r="Q80" s="492"/>
      <c r="R80" s="627"/>
      <c r="S80" s="627"/>
      <c r="T80" s="91"/>
      <c r="U80" s="90"/>
      <c r="V80" s="37"/>
      <c r="W80" s="37"/>
      <c r="X80" s="492"/>
      <c r="Y80" s="627"/>
      <c r="Z80" s="627"/>
      <c r="AA80" s="428"/>
      <c r="AB80" s="428"/>
      <c r="AC80" s="428"/>
      <c r="AD80" s="428"/>
      <c r="AE80" s="428"/>
      <c r="AF80" s="428"/>
      <c r="AG80" s="428"/>
      <c r="AH80" s="428"/>
      <c r="AI80" s="428"/>
      <c r="AJ80" s="428"/>
      <c r="AK80" s="428"/>
      <c r="AL80" s="428"/>
      <c r="AM80" s="428"/>
    </row>
    <row r="81" spans="1:39">
      <c r="A81" s="50"/>
      <c r="B81" s="52">
        <v>4120</v>
      </c>
      <c r="C81" s="53" t="s">
        <v>157</v>
      </c>
      <c r="D81" s="55" t="s">
        <v>558</v>
      </c>
      <c r="E81" s="53">
        <v>62</v>
      </c>
      <c r="F81" s="56" t="s">
        <v>559</v>
      </c>
      <c r="G81" s="57" t="s">
        <v>78</v>
      </c>
      <c r="H81" s="58">
        <v>6700000</v>
      </c>
      <c r="I81" s="59"/>
      <c r="J81" s="60" t="s">
        <v>2403</v>
      </c>
      <c r="K81" s="61"/>
      <c r="L81" s="62"/>
      <c r="M81" s="64"/>
      <c r="N81" s="65"/>
      <c r="O81" s="65"/>
      <c r="P81" s="65"/>
      <c r="Q81" s="65"/>
      <c r="R81" s="65"/>
      <c r="S81" s="65"/>
      <c r="T81" s="67"/>
      <c r="U81" s="67"/>
      <c r="V81" s="68" t="s">
        <v>2174</v>
      </c>
      <c r="W81" s="69" t="e">
        <v>#REF!</v>
      </c>
      <c r="X81" s="70"/>
      <c r="Y81" s="70"/>
      <c r="Z81" s="70"/>
      <c r="AA81" s="429"/>
      <c r="AB81" s="429"/>
      <c r="AC81" s="429"/>
      <c r="AD81" s="429"/>
      <c r="AE81" s="429"/>
      <c r="AF81" s="429"/>
      <c r="AG81" s="429"/>
      <c r="AH81" s="429"/>
      <c r="AI81" s="429"/>
      <c r="AJ81" s="429"/>
      <c r="AK81" s="429"/>
      <c r="AL81" s="429"/>
      <c r="AM81" s="429"/>
    </row>
    <row r="82" spans="1:39">
      <c r="A82" s="50"/>
      <c r="B82" s="52">
        <v>4120</v>
      </c>
      <c r="C82" s="53" t="s">
        <v>372</v>
      </c>
      <c r="D82" s="55" t="s">
        <v>566</v>
      </c>
      <c r="E82" s="53">
        <v>60</v>
      </c>
      <c r="F82" s="56" t="s">
        <v>567</v>
      </c>
      <c r="G82" s="57" t="s">
        <v>78</v>
      </c>
      <c r="H82" s="58">
        <v>11000000</v>
      </c>
      <c r="I82" s="59"/>
      <c r="J82" s="60" t="s">
        <v>2403</v>
      </c>
      <c r="K82" s="61"/>
      <c r="L82" s="62" t="s">
        <v>568</v>
      </c>
      <c r="M82" s="64"/>
      <c r="N82" s="65"/>
      <c r="O82" s="65"/>
      <c r="P82" s="65"/>
      <c r="Q82" s="65"/>
      <c r="R82" s="65"/>
      <c r="S82" s="65"/>
      <c r="T82" s="67"/>
      <c r="U82" s="67">
        <v>2558</v>
      </c>
      <c r="V82" s="68" t="s">
        <v>2174</v>
      </c>
      <c r="W82" s="69" t="e">
        <v>#REF!</v>
      </c>
      <c r="X82" s="70" t="s">
        <v>548</v>
      </c>
      <c r="Y82" s="70"/>
      <c r="Z82" s="70"/>
      <c r="AA82" s="429"/>
      <c r="AB82" s="429"/>
      <c r="AC82" s="429"/>
      <c r="AD82" s="429"/>
      <c r="AE82" s="429"/>
      <c r="AF82" s="429"/>
      <c r="AG82" s="429"/>
      <c r="AH82" s="429"/>
      <c r="AI82" s="429"/>
      <c r="AJ82" s="429"/>
      <c r="AK82" s="429"/>
      <c r="AL82" s="429"/>
      <c r="AM82" s="429"/>
    </row>
    <row r="83" spans="1:39" ht="31.5">
      <c r="A83" s="50"/>
      <c r="B83" s="52">
        <v>4120</v>
      </c>
      <c r="C83" s="53" t="s">
        <v>157</v>
      </c>
      <c r="D83" s="55" t="s">
        <v>577</v>
      </c>
      <c r="E83" s="53">
        <v>61</v>
      </c>
      <c r="F83" s="56" t="s">
        <v>578</v>
      </c>
      <c r="G83" s="57" t="s">
        <v>78</v>
      </c>
      <c r="H83" s="58">
        <v>2000000</v>
      </c>
      <c r="I83" s="59"/>
      <c r="J83" s="60" t="s">
        <v>2403</v>
      </c>
      <c r="K83" s="61"/>
      <c r="L83" s="62"/>
      <c r="M83" s="64"/>
      <c r="N83" s="65"/>
      <c r="O83" s="65"/>
      <c r="P83" s="65"/>
      <c r="Q83" s="65"/>
      <c r="R83" s="65"/>
      <c r="S83" s="65"/>
      <c r="T83" s="67"/>
      <c r="U83" s="67"/>
      <c r="V83" s="68" t="s">
        <v>2174</v>
      </c>
      <c r="W83" s="69" t="e">
        <v>#REF!</v>
      </c>
      <c r="X83" s="70"/>
      <c r="Y83" s="70"/>
      <c r="Z83" s="70"/>
      <c r="AA83" s="429"/>
      <c r="AB83" s="429"/>
      <c r="AC83" s="429"/>
      <c r="AD83" s="429"/>
      <c r="AE83" s="429"/>
      <c r="AF83" s="429"/>
      <c r="AG83" s="429"/>
      <c r="AH83" s="429"/>
      <c r="AI83" s="429"/>
      <c r="AJ83" s="429"/>
      <c r="AK83" s="429"/>
      <c r="AL83" s="429"/>
      <c r="AM83" s="429"/>
    </row>
    <row r="84" spans="1:39" ht="31.5">
      <c r="A84" s="50"/>
      <c r="B84" s="52">
        <v>4120</v>
      </c>
      <c r="C84" s="53" t="s">
        <v>157</v>
      </c>
      <c r="D84" s="55" t="s">
        <v>583</v>
      </c>
      <c r="E84" s="53">
        <v>59</v>
      </c>
      <c r="F84" s="56" t="s">
        <v>584</v>
      </c>
      <c r="G84" s="57" t="s">
        <v>78</v>
      </c>
      <c r="H84" s="58">
        <v>2500000</v>
      </c>
      <c r="I84" s="59"/>
      <c r="J84" s="60" t="s">
        <v>2403</v>
      </c>
      <c r="K84" s="61"/>
      <c r="L84" s="62"/>
      <c r="M84" s="64"/>
      <c r="N84" s="65"/>
      <c r="O84" s="65"/>
      <c r="P84" s="65"/>
      <c r="Q84" s="65"/>
      <c r="R84" s="65"/>
      <c r="S84" s="65"/>
      <c r="T84" s="67"/>
      <c r="U84" s="67">
        <v>2557</v>
      </c>
      <c r="V84" s="68" t="s">
        <v>2174</v>
      </c>
      <c r="W84" s="69" t="e">
        <v>#REF!</v>
      </c>
      <c r="X84" s="70"/>
      <c r="Y84" s="70"/>
      <c r="Z84" s="70"/>
      <c r="AA84" s="429"/>
      <c r="AB84" s="429"/>
      <c r="AC84" s="429"/>
      <c r="AD84" s="429"/>
      <c r="AE84" s="429"/>
      <c r="AF84" s="429"/>
      <c r="AG84" s="429"/>
      <c r="AH84" s="429"/>
      <c r="AI84" s="429"/>
      <c r="AJ84" s="429"/>
      <c r="AK84" s="429"/>
      <c r="AL84" s="429"/>
      <c r="AM84" s="429"/>
    </row>
    <row r="85" spans="1:39">
      <c r="A85" s="50"/>
      <c r="B85" s="52">
        <v>4120</v>
      </c>
      <c r="C85" s="53" t="s">
        <v>157</v>
      </c>
      <c r="D85" s="55" t="s">
        <v>606</v>
      </c>
      <c r="E85" s="53">
        <v>58</v>
      </c>
      <c r="F85" s="56" t="s">
        <v>607</v>
      </c>
      <c r="G85" s="57" t="s">
        <v>78</v>
      </c>
      <c r="H85" s="58">
        <v>105000</v>
      </c>
      <c r="I85" s="59"/>
      <c r="J85" s="60" t="s">
        <v>2403</v>
      </c>
      <c r="K85" s="623" t="s">
        <v>2403</v>
      </c>
      <c r="L85" s="62"/>
      <c r="M85" s="64"/>
      <c r="N85" s="65"/>
      <c r="O85" s="65"/>
      <c r="P85" s="65"/>
      <c r="Q85" s="65"/>
      <c r="R85" s="65"/>
      <c r="S85" s="65"/>
      <c r="T85" s="67"/>
      <c r="U85" s="67"/>
      <c r="V85" s="68"/>
      <c r="W85" s="69"/>
      <c r="X85" s="70"/>
      <c r="Y85" s="70"/>
      <c r="Z85" s="70"/>
      <c r="AA85" s="429"/>
      <c r="AB85" s="429"/>
      <c r="AC85" s="429"/>
      <c r="AD85" s="429"/>
      <c r="AE85" s="429"/>
      <c r="AF85" s="429"/>
      <c r="AG85" s="429"/>
      <c r="AH85" s="429"/>
      <c r="AI85" s="429"/>
      <c r="AJ85" s="429"/>
      <c r="AK85" s="429"/>
      <c r="AL85" s="429"/>
      <c r="AM85" s="429"/>
    </row>
    <row r="86" spans="1:39">
      <c r="A86" s="50"/>
      <c r="B86" s="52">
        <v>4120</v>
      </c>
      <c r="C86" s="53" t="s">
        <v>157</v>
      </c>
      <c r="D86" s="55" t="s">
        <v>613</v>
      </c>
      <c r="E86" s="53">
        <v>58</v>
      </c>
      <c r="F86" s="56" t="s">
        <v>614</v>
      </c>
      <c r="G86" s="57" t="s">
        <v>78</v>
      </c>
      <c r="H86" s="58">
        <v>195000</v>
      </c>
      <c r="I86" s="59"/>
      <c r="J86" s="60" t="s">
        <v>2403</v>
      </c>
      <c r="K86" s="623" t="s">
        <v>2403</v>
      </c>
      <c r="L86" s="62"/>
      <c r="M86" s="64"/>
      <c r="N86" s="65"/>
      <c r="O86" s="65"/>
      <c r="P86" s="65"/>
      <c r="Q86" s="65"/>
      <c r="R86" s="65"/>
      <c r="S86" s="65"/>
      <c r="T86" s="67"/>
      <c r="U86" s="67"/>
      <c r="V86" s="68"/>
      <c r="W86" s="69"/>
      <c r="X86" s="70"/>
      <c r="Y86" s="70"/>
      <c r="Z86" s="70"/>
      <c r="AA86" s="429"/>
      <c r="AB86" s="429"/>
      <c r="AC86" s="429"/>
      <c r="AD86" s="429"/>
      <c r="AE86" s="429"/>
      <c r="AF86" s="429"/>
      <c r="AG86" s="429"/>
      <c r="AH86" s="429"/>
      <c r="AI86" s="429"/>
      <c r="AJ86" s="429"/>
      <c r="AK86" s="429"/>
      <c r="AL86" s="429"/>
      <c r="AM86" s="429"/>
    </row>
    <row r="87" spans="1:39">
      <c r="A87" s="50"/>
      <c r="B87" s="52">
        <v>4120</v>
      </c>
      <c r="C87" s="53" t="s">
        <v>157</v>
      </c>
      <c r="D87" s="55" t="s">
        <v>589</v>
      </c>
      <c r="E87" s="53">
        <v>58</v>
      </c>
      <c r="F87" s="56" t="s">
        <v>591</v>
      </c>
      <c r="G87" s="57" t="s">
        <v>78</v>
      </c>
      <c r="H87" s="58">
        <v>220000</v>
      </c>
      <c r="I87" s="59"/>
      <c r="J87" s="60" t="s">
        <v>2403</v>
      </c>
      <c r="K87" s="623" t="s">
        <v>2403</v>
      </c>
      <c r="L87" s="62"/>
      <c r="M87" s="64"/>
      <c r="N87" s="65"/>
      <c r="O87" s="65"/>
      <c r="P87" s="65"/>
      <c r="Q87" s="65"/>
      <c r="R87" s="65"/>
      <c r="S87" s="65"/>
      <c r="T87" s="67">
        <v>20</v>
      </c>
      <c r="U87" s="67">
        <v>2576</v>
      </c>
      <c r="V87" s="68" t="s">
        <v>2174</v>
      </c>
      <c r="W87" s="69" t="e">
        <v>#REF!</v>
      </c>
      <c r="X87" s="70"/>
      <c r="Y87" s="70"/>
      <c r="Z87" s="70"/>
      <c r="AA87" s="429"/>
      <c r="AB87" s="429"/>
      <c r="AC87" s="429"/>
      <c r="AD87" s="429"/>
      <c r="AE87" s="429"/>
      <c r="AF87" s="429"/>
      <c r="AG87" s="429"/>
      <c r="AH87" s="429"/>
      <c r="AI87" s="429"/>
      <c r="AJ87" s="429"/>
      <c r="AK87" s="429"/>
      <c r="AL87" s="429"/>
      <c r="AM87" s="429"/>
    </row>
    <row r="88" spans="1:39">
      <c r="A88" s="50"/>
      <c r="B88" s="52">
        <v>4120</v>
      </c>
      <c r="C88" s="53" t="s">
        <v>157</v>
      </c>
      <c r="D88" s="55" t="s">
        <v>594</v>
      </c>
      <c r="E88" s="53">
        <v>60</v>
      </c>
      <c r="F88" s="56" t="s">
        <v>595</v>
      </c>
      <c r="G88" s="57" t="s">
        <v>78</v>
      </c>
      <c r="H88" s="58">
        <v>320000</v>
      </c>
      <c r="I88" s="59"/>
      <c r="J88" s="60" t="s">
        <v>2403</v>
      </c>
      <c r="K88" s="61"/>
      <c r="L88" s="62"/>
      <c r="M88" s="64"/>
      <c r="N88" s="65"/>
      <c r="O88" s="65"/>
      <c r="P88" s="65"/>
      <c r="Q88" s="65"/>
      <c r="R88" s="65"/>
      <c r="S88" s="65"/>
      <c r="T88" s="67"/>
      <c r="U88" s="67">
        <v>2558</v>
      </c>
      <c r="V88" s="68" t="s">
        <v>2174</v>
      </c>
      <c r="W88" s="69" t="e">
        <v>#REF!</v>
      </c>
      <c r="X88" s="70"/>
      <c r="Y88" s="70"/>
      <c r="Z88" s="70"/>
      <c r="AA88" s="429"/>
      <c r="AB88" s="429"/>
      <c r="AC88" s="429"/>
      <c r="AD88" s="429"/>
      <c r="AE88" s="429"/>
      <c r="AF88" s="429"/>
      <c r="AG88" s="429"/>
      <c r="AH88" s="429"/>
      <c r="AI88" s="429"/>
      <c r="AJ88" s="429"/>
      <c r="AK88" s="429"/>
      <c r="AL88" s="429"/>
      <c r="AM88" s="429"/>
    </row>
    <row r="89" spans="1:39">
      <c r="A89" s="50"/>
      <c r="B89" s="52">
        <v>4120</v>
      </c>
      <c r="C89" s="53" t="s">
        <v>157</v>
      </c>
      <c r="D89" s="55" t="s">
        <v>600</v>
      </c>
      <c r="E89" s="53">
        <v>58</v>
      </c>
      <c r="F89" s="56" t="s">
        <v>601</v>
      </c>
      <c r="G89" s="57" t="s">
        <v>78</v>
      </c>
      <c r="H89" s="58">
        <v>520000</v>
      </c>
      <c r="I89" s="59"/>
      <c r="J89" s="60" t="s">
        <v>2403</v>
      </c>
      <c r="K89" s="623" t="s">
        <v>2403</v>
      </c>
      <c r="L89" s="62"/>
      <c r="M89" s="64"/>
      <c r="N89" s="65"/>
      <c r="O89" s="65"/>
      <c r="P89" s="65"/>
      <c r="Q89" s="65"/>
      <c r="R89" s="65"/>
      <c r="S89" s="65"/>
      <c r="T89" s="67">
        <v>20</v>
      </c>
      <c r="U89" s="67">
        <v>2576</v>
      </c>
      <c r="V89" s="68" t="s">
        <v>2174</v>
      </c>
      <c r="W89" s="69" t="e">
        <v>#REF!</v>
      </c>
      <c r="X89" s="70"/>
      <c r="Y89" s="70"/>
      <c r="Z89" s="70"/>
      <c r="AA89" s="429"/>
      <c r="AB89" s="429"/>
      <c r="AC89" s="429"/>
      <c r="AD89" s="429"/>
      <c r="AE89" s="429"/>
      <c r="AF89" s="429"/>
      <c r="AG89" s="429"/>
      <c r="AH89" s="429"/>
      <c r="AI89" s="429"/>
      <c r="AJ89" s="429"/>
      <c r="AK89" s="429"/>
      <c r="AL89" s="429"/>
      <c r="AM89" s="429"/>
    </row>
    <row r="90" spans="1:39" ht="18.75" customHeight="1">
      <c r="A90" s="50"/>
      <c r="B90" s="52">
        <v>4120</v>
      </c>
      <c r="C90" s="53" t="s">
        <v>157</v>
      </c>
      <c r="D90" s="55" t="s">
        <v>618</v>
      </c>
      <c r="E90" s="53">
        <v>59</v>
      </c>
      <c r="F90" s="56" t="s">
        <v>619</v>
      </c>
      <c r="G90" s="57" t="s">
        <v>78</v>
      </c>
      <c r="H90" s="58">
        <v>70000</v>
      </c>
      <c r="I90" s="59"/>
      <c r="J90" s="60" t="s">
        <v>2403</v>
      </c>
      <c r="K90" s="61"/>
      <c r="L90" s="62"/>
      <c r="M90" s="64"/>
      <c r="N90" s="65"/>
      <c r="O90" s="65"/>
      <c r="P90" s="65"/>
      <c r="Q90" s="65"/>
      <c r="R90" s="65"/>
      <c r="S90" s="65"/>
      <c r="T90" s="67"/>
      <c r="U90" s="67">
        <v>2557</v>
      </c>
      <c r="V90" s="68" t="s">
        <v>2174</v>
      </c>
      <c r="W90" s="69" t="e">
        <v>#REF!</v>
      </c>
      <c r="X90" s="70"/>
      <c r="Y90" s="70"/>
      <c r="Z90" s="70"/>
      <c r="AA90" s="429"/>
      <c r="AB90" s="429"/>
      <c r="AC90" s="429"/>
      <c r="AD90" s="429"/>
      <c r="AE90" s="429"/>
      <c r="AF90" s="429"/>
      <c r="AG90" s="429"/>
      <c r="AH90" s="429"/>
      <c r="AI90" s="429"/>
      <c r="AJ90" s="429"/>
      <c r="AK90" s="429"/>
      <c r="AL90" s="429"/>
      <c r="AM90" s="429"/>
    </row>
    <row r="91" spans="1:39" ht="18.75" customHeight="1">
      <c r="A91" s="50"/>
      <c r="B91" s="52">
        <v>4120</v>
      </c>
      <c r="C91" s="53" t="s">
        <v>157</v>
      </c>
      <c r="D91" s="55" t="s">
        <v>624</v>
      </c>
      <c r="E91" s="53">
        <v>58</v>
      </c>
      <c r="F91" s="56" t="s">
        <v>625</v>
      </c>
      <c r="G91" s="57" t="s">
        <v>78</v>
      </c>
      <c r="H91" s="58">
        <v>56000</v>
      </c>
      <c r="I91" s="59"/>
      <c r="J91" s="60" t="s">
        <v>2403</v>
      </c>
      <c r="K91" s="623" t="s">
        <v>2403</v>
      </c>
      <c r="L91" s="62"/>
      <c r="M91" s="64"/>
      <c r="N91" s="65">
        <v>4120</v>
      </c>
      <c r="O91" s="65" t="s">
        <v>157</v>
      </c>
      <c r="P91" s="65" t="s">
        <v>630</v>
      </c>
      <c r="Q91" s="65">
        <v>58</v>
      </c>
      <c r="R91" s="65" t="s">
        <v>631</v>
      </c>
      <c r="S91" s="65" t="s">
        <v>78</v>
      </c>
      <c r="T91" s="67">
        <v>70000</v>
      </c>
      <c r="U91" s="67"/>
      <c r="V91" s="68" t="s">
        <v>2174</v>
      </c>
      <c r="W91" s="69" t="e">
        <v>#REF!</v>
      </c>
      <c r="X91" s="628"/>
      <c r="Y91" s="70" t="s">
        <v>634</v>
      </c>
      <c r="Z91" s="70"/>
      <c r="AA91" s="429"/>
      <c r="AB91" s="429"/>
      <c r="AC91" s="429"/>
      <c r="AD91" s="429"/>
      <c r="AE91" s="429"/>
      <c r="AF91" s="429"/>
      <c r="AG91" s="429"/>
      <c r="AH91" s="429"/>
      <c r="AI91" s="429"/>
      <c r="AJ91" s="429"/>
      <c r="AK91" s="429"/>
      <c r="AL91" s="429"/>
      <c r="AM91" s="429"/>
    </row>
    <row r="92" spans="1:39" ht="31.5">
      <c r="A92" s="50"/>
      <c r="B92" s="52">
        <v>4120</v>
      </c>
      <c r="C92" s="53" t="s">
        <v>157</v>
      </c>
      <c r="D92" s="55" t="s">
        <v>637</v>
      </c>
      <c r="E92" s="53">
        <v>62</v>
      </c>
      <c r="F92" s="56" t="s">
        <v>638</v>
      </c>
      <c r="G92" s="57" t="s">
        <v>273</v>
      </c>
      <c r="H92" s="58">
        <v>75000</v>
      </c>
      <c r="I92" s="59"/>
      <c r="J92" s="60" t="s">
        <v>2403</v>
      </c>
      <c r="K92" s="61"/>
      <c r="L92" s="62"/>
      <c r="M92" s="64"/>
      <c r="N92" s="65"/>
      <c r="O92" s="65"/>
      <c r="P92" s="65"/>
      <c r="Q92" s="65"/>
      <c r="R92" s="65"/>
      <c r="S92" s="65"/>
      <c r="T92" s="67"/>
      <c r="U92" s="67"/>
      <c r="V92" s="68" t="s">
        <v>2174</v>
      </c>
      <c r="W92" s="69" t="e">
        <v>#REF!</v>
      </c>
      <c r="X92" s="70"/>
      <c r="Y92" s="70"/>
      <c r="Z92" s="70"/>
      <c r="AA92" s="429"/>
      <c r="AB92" s="429"/>
      <c r="AC92" s="429"/>
      <c r="AD92" s="429"/>
      <c r="AE92" s="429"/>
      <c r="AF92" s="429"/>
      <c r="AG92" s="429"/>
      <c r="AH92" s="429"/>
      <c r="AI92" s="429"/>
      <c r="AJ92" s="429"/>
      <c r="AK92" s="429"/>
      <c r="AL92" s="429"/>
      <c r="AM92" s="429"/>
    </row>
    <row r="93" spans="1:39">
      <c r="A93" s="50"/>
      <c r="B93" s="52">
        <v>4120</v>
      </c>
      <c r="C93" s="53" t="s">
        <v>157</v>
      </c>
      <c r="D93" s="55" t="s">
        <v>641</v>
      </c>
      <c r="E93" s="53">
        <v>59</v>
      </c>
      <c r="F93" s="56" t="s">
        <v>642</v>
      </c>
      <c r="G93" s="57" t="s">
        <v>78</v>
      </c>
      <c r="H93" s="58">
        <v>53300</v>
      </c>
      <c r="I93" s="59"/>
      <c r="J93" s="60" t="s">
        <v>2403</v>
      </c>
      <c r="K93" s="61"/>
      <c r="L93" s="62"/>
      <c r="M93" s="64"/>
      <c r="N93" s="65"/>
      <c r="O93" s="65"/>
      <c r="P93" s="65"/>
      <c r="Q93" s="65"/>
      <c r="R93" s="65"/>
      <c r="S93" s="65"/>
      <c r="T93" s="67"/>
      <c r="U93" s="67">
        <v>2557</v>
      </c>
      <c r="V93" s="68" t="s">
        <v>2174</v>
      </c>
      <c r="W93" s="69" t="e">
        <v>#REF!</v>
      </c>
      <c r="X93" s="70"/>
      <c r="Y93" s="70"/>
      <c r="Z93" s="70"/>
      <c r="AA93" s="429"/>
      <c r="AB93" s="429"/>
      <c r="AC93" s="429"/>
      <c r="AD93" s="429"/>
      <c r="AE93" s="429"/>
      <c r="AF93" s="429"/>
      <c r="AG93" s="429"/>
      <c r="AH93" s="429"/>
      <c r="AI93" s="429"/>
      <c r="AJ93" s="429"/>
      <c r="AK93" s="429"/>
      <c r="AL93" s="429"/>
      <c r="AM93" s="429"/>
    </row>
    <row r="94" spans="1:39">
      <c r="A94" s="50"/>
      <c r="B94" s="52">
        <v>4120</v>
      </c>
      <c r="C94" s="53" t="s">
        <v>157</v>
      </c>
      <c r="D94" s="55" t="s">
        <v>647</v>
      </c>
      <c r="E94" s="53">
        <v>58</v>
      </c>
      <c r="F94" s="56" t="s">
        <v>648</v>
      </c>
      <c r="G94" s="57" t="s">
        <v>78</v>
      </c>
      <c r="H94" s="58">
        <v>57000</v>
      </c>
      <c r="I94" s="59"/>
      <c r="J94" s="60" t="s">
        <v>2403</v>
      </c>
      <c r="K94" s="623" t="s">
        <v>2403</v>
      </c>
      <c r="L94" s="62"/>
      <c r="M94" s="64"/>
      <c r="N94" s="65"/>
      <c r="O94" s="65"/>
      <c r="P94" s="65"/>
      <c r="Q94" s="65"/>
      <c r="R94" s="65"/>
      <c r="S94" s="65"/>
      <c r="T94" s="67">
        <v>20</v>
      </c>
      <c r="U94" s="67">
        <v>2576</v>
      </c>
      <c r="V94" s="68" t="s">
        <v>2174</v>
      </c>
      <c r="W94" s="69" t="e">
        <v>#REF!</v>
      </c>
      <c r="X94" s="70"/>
      <c r="Y94" s="70"/>
      <c r="Z94" s="70"/>
      <c r="AA94" s="429"/>
      <c r="AB94" s="429"/>
      <c r="AC94" s="429"/>
      <c r="AD94" s="429"/>
      <c r="AE94" s="429"/>
      <c r="AF94" s="429"/>
      <c r="AG94" s="429"/>
      <c r="AH94" s="429"/>
      <c r="AI94" s="429"/>
      <c r="AJ94" s="429"/>
      <c r="AK94" s="429"/>
      <c r="AL94" s="429"/>
      <c r="AM94" s="429"/>
    </row>
    <row r="95" spans="1:39">
      <c r="A95" s="50"/>
      <c r="B95" s="52">
        <v>4120</v>
      </c>
      <c r="C95" s="53" t="s">
        <v>157</v>
      </c>
      <c r="D95" s="55" t="s">
        <v>653</v>
      </c>
      <c r="E95" s="53">
        <v>58</v>
      </c>
      <c r="F95" s="56" t="s">
        <v>654</v>
      </c>
      <c r="G95" s="57" t="s">
        <v>78</v>
      </c>
      <c r="H95" s="58">
        <v>48000</v>
      </c>
      <c r="I95" s="59"/>
      <c r="J95" s="60" t="s">
        <v>2403</v>
      </c>
      <c r="K95" s="623" t="s">
        <v>2403</v>
      </c>
      <c r="L95" s="62"/>
      <c r="M95" s="64"/>
      <c r="N95" s="65"/>
      <c r="O95" s="65"/>
      <c r="P95" s="65"/>
      <c r="Q95" s="65"/>
      <c r="R95" s="65"/>
      <c r="S95" s="65"/>
      <c r="T95" s="67">
        <v>20</v>
      </c>
      <c r="U95" s="67">
        <v>2576</v>
      </c>
      <c r="V95" s="68" t="s">
        <v>2174</v>
      </c>
      <c r="W95" s="69" t="e">
        <v>#REF!</v>
      </c>
      <c r="X95" s="70"/>
      <c r="Y95" s="70"/>
      <c r="Z95" s="70"/>
      <c r="AA95" s="429"/>
      <c r="AB95" s="429"/>
      <c r="AC95" s="429"/>
      <c r="AD95" s="429"/>
      <c r="AE95" s="429"/>
      <c r="AF95" s="429"/>
      <c r="AG95" s="429"/>
      <c r="AH95" s="429"/>
      <c r="AI95" s="429"/>
      <c r="AJ95" s="429"/>
      <c r="AK95" s="429"/>
      <c r="AL95" s="429"/>
      <c r="AM95" s="429"/>
    </row>
    <row r="96" spans="1:39">
      <c r="A96" s="50"/>
      <c r="B96" s="52">
        <v>4120</v>
      </c>
      <c r="C96" s="53" t="s">
        <v>157</v>
      </c>
      <c r="D96" s="55" t="s">
        <v>657</v>
      </c>
      <c r="E96" s="53">
        <v>61</v>
      </c>
      <c r="F96" s="56" t="s">
        <v>658</v>
      </c>
      <c r="G96" s="57" t="s">
        <v>78</v>
      </c>
      <c r="H96" s="58">
        <v>58000</v>
      </c>
      <c r="I96" s="59"/>
      <c r="J96" s="60" t="s">
        <v>2403</v>
      </c>
      <c r="K96" s="61"/>
      <c r="L96" s="62"/>
      <c r="M96" s="64"/>
      <c r="N96" s="65"/>
      <c r="O96" s="65"/>
      <c r="P96" s="65"/>
      <c r="Q96" s="65"/>
      <c r="R96" s="65"/>
      <c r="S96" s="65"/>
      <c r="T96" s="67"/>
      <c r="U96" s="67"/>
      <c r="V96" s="68" t="s">
        <v>2174</v>
      </c>
      <c r="W96" s="69" t="e">
        <v>#REF!</v>
      </c>
      <c r="X96" s="70"/>
      <c r="Y96" s="70"/>
      <c r="Z96" s="70"/>
      <c r="AA96" s="429"/>
      <c r="AB96" s="429"/>
      <c r="AC96" s="429"/>
      <c r="AD96" s="429"/>
      <c r="AE96" s="429"/>
      <c r="AF96" s="429"/>
      <c r="AG96" s="429"/>
      <c r="AH96" s="429"/>
      <c r="AI96" s="429"/>
      <c r="AJ96" s="429"/>
      <c r="AK96" s="429"/>
      <c r="AL96" s="429"/>
      <c r="AM96" s="429"/>
    </row>
    <row r="97" spans="1:39">
      <c r="A97" s="50"/>
      <c r="B97" s="52">
        <v>4120</v>
      </c>
      <c r="C97" s="53" t="s">
        <v>157</v>
      </c>
      <c r="D97" s="55" t="s">
        <v>663</v>
      </c>
      <c r="E97" s="53">
        <v>62</v>
      </c>
      <c r="F97" s="56" t="s">
        <v>664</v>
      </c>
      <c r="G97" s="57" t="s">
        <v>78</v>
      </c>
      <c r="H97" s="58">
        <v>61000</v>
      </c>
      <c r="I97" s="59"/>
      <c r="J97" s="60" t="s">
        <v>2403</v>
      </c>
      <c r="K97" s="61"/>
      <c r="L97" s="62"/>
      <c r="M97" s="64"/>
      <c r="N97" s="65"/>
      <c r="O97" s="65"/>
      <c r="P97" s="65"/>
      <c r="Q97" s="65"/>
      <c r="R97" s="65"/>
      <c r="S97" s="65"/>
      <c r="T97" s="67"/>
      <c r="U97" s="67"/>
      <c r="V97" s="68" t="s">
        <v>2174</v>
      </c>
      <c r="W97" s="69" t="e">
        <v>#REF!</v>
      </c>
      <c r="X97" s="70"/>
      <c r="Y97" s="70"/>
      <c r="Z97" s="70"/>
      <c r="AA97" s="429"/>
      <c r="AB97" s="429"/>
      <c r="AC97" s="429"/>
      <c r="AD97" s="429"/>
      <c r="AE97" s="429"/>
      <c r="AF97" s="429"/>
      <c r="AG97" s="429"/>
      <c r="AH97" s="429"/>
      <c r="AI97" s="429"/>
      <c r="AJ97" s="429"/>
      <c r="AK97" s="429"/>
      <c r="AL97" s="429"/>
      <c r="AM97" s="429"/>
    </row>
    <row r="98" spans="1:39">
      <c r="A98" s="50"/>
      <c r="B98" s="52">
        <v>4120</v>
      </c>
      <c r="C98" s="53" t="s">
        <v>157</v>
      </c>
      <c r="D98" s="55" t="s">
        <v>630</v>
      </c>
      <c r="E98" s="53">
        <v>58</v>
      </c>
      <c r="F98" s="56" t="s">
        <v>665</v>
      </c>
      <c r="G98" s="57" t="s">
        <v>78</v>
      </c>
      <c r="H98" s="58">
        <v>70000</v>
      </c>
      <c r="I98" s="59"/>
      <c r="J98" s="60" t="s">
        <v>2403</v>
      </c>
      <c r="K98" s="96" t="s">
        <v>2403</v>
      </c>
      <c r="L98" s="70"/>
      <c r="M98" s="64"/>
      <c r="N98" s="65"/>
      <c r="O98" s="65"/>
      <c r="P98" s="65"/>
      <c r="Q98" s="65"/>
      <c r="R98" s="65"/>
      <c r="S98" s="65"/>
      <c r="T98" s="67">
        <v>20</v>
      </c>
      <c r="U98" s="67">
        <v>2576</v>
      </c>
      <c r="V98" s="68" t="s">
        <v>2174</v>
      </c>
      <c r="W98" s="69" t="e">
        <v>#REF!</v>
      </c>
      <c r="X98" s="70"/>
      <c r="Y98" s="70"/>
      <c r="Z98" s="70"/>
      <c r="AA98" s="429"/>
      <c r="AB98" s="429"/>
      <c r="AC98" s="429"/>
      <c r="AD98" s="429"/>
      <c r="AE98" s="429"/>
      <c r="AF98" s="429"/>
      <c r="AG98" s="429"/>
      <c r="AH98" s="429"/>
      <c r="AI98" s="429"/>
      <c r="AJ98" s="429"/>
      <c r="AK98" s="429"/>
      <c r="AL98" s="429"/>
      <c r="AM98" s="429"/>
    </row>
    <row r="99" spans="1:39">
      <c r="A99" s="50"/>
      <c r="B99" s="52">
        <v>4120</v>
      </c>
      <c r="C99" s="53" t="s">
        <v>157</v>
      </c>
      <c r="D99" s="55" t="s">
        <v>668</v>
      </c>
      <c r="E99" s="53">
        <v>58</v>
      </c>
      <c r="F99" s="56" t="s">
        <v>669</v>
      </c>
      <c r="G99" s="57" t="s">
        <v>78</v>
      </c>
      <c r="H99" s="58">
        <v>210000</v>
      </c>
      <c r="I99" s="59"/>
      <c r="J99" s="60" t="s">
        <v>2403</v>
      </c>
      <c r="K99" s="623" t="s">
        <v>2403</v>
      </c>
      <c r="L99" s="70"/>
      <c r="M99" s="64"/>
      <c r="N99" s="65"/>
      <c r="O99" s="65"/>
      <c r="P99" s="65"/>
      <c r="Q99" s="65"/>
      <c r="R99" s="65"/>
      <c r="S99" s="65"/>
      <c r="T99" s="67"/>
      <c r="U99" s="67"/>
      <c r="V99" s="68"/>
      <c r="W99" s="69"/>
      <c r="X99" s="70"/>
      <c r="Y99" s="70"/>
      <c r="Z99" s="70"/>
      <c r="AA99" s="429"/>
      <c r="AB99" s="429"/>
      <c r="AC99" s="429"/>
      <c r="AD99" s="429"/>
      <c r="AE99" s="429"/>
      <c r="AF99" s="429"/>
      <c r="AG99" s="429"/>
      <c r="AH99" s="429"/>
      <c r="AI99" s="429"/>
      <c r="AJ99" s="429"/>
      <c r="AK99" s="429"/>
      <c r="AL99" s="429"/>
      <c r="AM99" s="429"/>
    </row>
    <row r="100" spans="1:39">
      <c r="A100" s="50"/>
      <c r="B100" s="52">
        <v>4120</v>
      </c>
      <c r="C100" s="53" t="s">
        <v>157</v>
      </c>
      <c r="D100" s="55" t="s">
        <v>666</v>
      </c>
      <c r="E100" s="53">
        <v>62</v>
      </c>
      <c r="F100" s="56" t="s">
        <v>667</v>
      </c>
      <c r="G100" s="57" t="s">
        <v>78</v>
      </c>
      <c r="H100" s="58">
        <v>81300</v>
      </c>
      <c r="I100" s="59"/>
      <c r="J100" s="60" t="s">
        <v>2403</v>
      </c>
      <c r="K100" s="61"/>
      <c r="L100" s="62"/>
      <c r="M100" s="64"/>
      <c r="N100" s="65"/>
      <c r="O100" s="65"/>
      <c r="P100" s="65"/>
      <c r="Q100" s="65"/>
      <c r="R100" s="65"/>
      <c r="S100" s="65"/>
      <c r="T100" s="67"/>
      <c r="U100" s="67"/>
      <c r="V100" s="68" t="s">
        <v>2174</v>
      </c>
      <c r="W100" s="69" t="e">
        <v>#REF!</v>
      </c>
      <c r="X100" s="70"/>
      <c r="Y100" s="70"/>
      <c r="Z100" s="70"/>
      <c r="AA100" s="429"/>
      <c r="AB100" s="429"/>
      <c r="AC100" s="429"/>
      <c r="AD100" s="429"/>
      <c r="AE100" s="429"/>
      <c r="AF100" s="429"/>
      <c r="AG100" s="429"/>
      <c r="AH100" s="429"/>
      <c r="AI100" s="429"/>
      <c r="AJ100" s="429"/>
      <c r="AK100" s="429"/>
      <c r="AL100" s="429"/>
      <c r="AM100" s="429"/>
    </row>
    <row r="101" spans="1:39">
      <c r="A101" s="50"/>
      <c r="B101" s="52">
        <v>4120</v>
      </c>
      <c r="C101" s="53" t="s">
        <v>157</v>
      </c>
      <c r="D101" s="55" t="s">
        <v>670</v>
      </c>
      <c r="E101" s="53">
        <v>58</v>
      </c>
      <c r="F101" s="56" t="s">
        <v>671</v>
      </c>
      <c r="G101" s="57" t="s">
        <v>78</v>
      </c>
      <c r="H101" s="58">
        <v>295000</v>
      </c>
      <c r="I101" s="59"/>
      <c r="J101" s="60" t="s">
        <v>2403</v>
      </c>
      <c r="K101" s="623" t="s">
        <v>2403</v>
      </c>
      <c r="L101" s="62"/>
      <c r="M101" s="64"/>
      <c r="N101" s="65"/>
      <c r="O101" s="65"/>
      <c r="P101" s="65"/>
      <c r="Q101" s="65"/>
      <c r="R101" s="65"/>
      <c r="S101" s="65"/>
      <c r="T101" s="67">
        <v>20</v>
      </c>
      <c r="U101" s="67">
        <v>2576</v>
      </c>
      <c r="V101" s="68" t="s">
        <v>2174</v>
      </c>
      <c r="W101" s="69" t="e">
        <v>#REF!</v>
      </c>
      <c r="X101" s="70"/>
      <c r="Y101" s="70"/>
      <c r="Z101" s="70"/>
      <c r="AA101" s="429"/>
      <c r="AB101" s="429"/>
      <c r="AC101" s="429"/>
      <c r="AD101" s="429"/>
      <c r="AE101" s="429"/>
      <c r="AF101" s="429"/>
      <c r="AG101" s="429"/>
      <c r="AH101" s="429"/>
      <c r="AI101" s="429"/>
      <c r="AJ101" s="429"/>
      <c r="AK101" s="429"/>
      <c r="AL101" s="429"/>
      <c r="AM101" s="429"/>
    </row>
    <row r="102" spans="1:39">
      <c r="A102" s="50"/>
      <c r="B102" s="52">
        <v>4120</v>
      </c>
      <c r="C102" s="53" t="s">
        <v>157</v>
      </c>
      <c r="D102" s="55" t="s">
        <v>672</v>
      </c>
      <c r="E102" s="53">
        <v>58</v>
      </c>
      <c r="F102" s="56" t="s">
        <v>673</v>
      </c>
      <c r="G102" s="57" t="s">
        <v>78</v>
      </c>
      <c r="H102" s="58">
        <v>385000</v>
      </c>
      <c r="I102" s="59"/>
      <c r="J102" s="60" t="s">
        <v>2403</v>
      </c>
      <c r="K102" s="623" t="s">
        <v>2403</v>
      </c>
      <c r="L102" s="62"/>
      <c r="M102" s="64"/>
      <c r="N102" s="65"/>
      <c r="O102" s="65"/>
      <c r="P102" s="65"/>
      <c r="Q102" s="65"/>
      <c r="R102" s="65"/>
      <c r="S102" s="65"/>
      <c r="T102" s="67">
        <v>20</v>
      </c>
      <c r="U102" s="67">
        <v>2576</v>
      </c>
      <c r="V102" s="68" t="s">
        <v>2174</v>
      </c>
      <c r="W102" s="69" t="e">
        <v>#REF!</v>
      </c>
      <c r="X102" s="70"/>
      <c r="Y102" s="70"/>
      <c r="Z102" s="70"/>
      <c r="AA102" s="429"/>
      <c r="AB102" s="429"/>
      <c r="AC102" s="429"/>
      <c r="AD102" s="429"/>
      <c r="AE102" s="429"/>
      <c r="AF102" s="429"/>
      <c r="AG102" s="429"/>
      <c r="AH102" s="429"/>
      <c r="AI102" s="429"/>
      <c r="AJ102" s="429"/>
      <c r="AK102" s="429"/>
      <c r="AL102" s="429"/>
      <c r="AM102" s="429"/>
    </row>
    <row r="103" spans="1:39">
      <c r="A103" s="50"/>
      <c r="B103" s="52">
        <v>4120</v>
      </c>
      <c r="C103" s="53" t="s">
        <v>157</v>
      </c>
      <c r="D103" s="55" t="s">
        <v>674</v>
      </c>
      <c r="E103" s="53">
        <v>59</v>
      </c>
      <c r="F103" s="56" t="s">
        <v>675</v>
      </c>
      <c r="G103" s="57" t="s">
        <v>78</v>
      </c>
      <c r="H103" s="58">
        <v>750000</v>
      </c>
      <c r="I103" s="59"/>
      <c r="J103" s="60" t="s">
        <v>2403</v>
      </c>
      <c r="K103" s="623" t="s">
        <v>2403</v>
      </c>
      <c r="L103" s="62"/>
      <c r="M103" s="64"/>
      <c r="N103" s="65"/>
      <c r="O103" s="65"/>
      <c r="P103" s="65"/>
      <c r="Q103" s="65"/>
      <c r="R103" s="65"/>
      <c r="S103" s="65"/>
      <c r="T103" s="67"/>
      <c r="U103" s="67">
        <v>2557</v>
      </c>
      <c r="V103" s="68" t="s">
        <v>2174</v>
      </c>
      <c r="W103" s="69" t="e">
        <v>#REF!</v>
      </c>
      <c r="X103" s="70"/>
      <c r="Y103" s="70"/>
      <c r="Z103" s="70"/>
      <c r="AA103" s="429"/>
      <c r="AB103" s="429"/>
      <c r="AC103" s="429"/>
      <c r="AD103" s="429"/>
      <c r="AE103" s="429"/>
      <c r="AF103" s="429"/>
      <c r="AG103" s="429"/>
      <c r="AH103" s="429"/>
      <c r="AI103" s="429"/>
      <c r="AJ103" s="429"/>
      <c r="AK103" s="429"/>
      <c r="AL103" s="429"/>
      <c r="AM103" s="429"/>
    </row>
    <row r="104" spans="1:39">
      <c r="A104" s="50"/>
      <c r="B104" s="52">
        <v>4140</v>
      </c>
      <c r="C104" s="53" t="s">
        <v>157</v>
      </c>
      <c r="D104" s="55" t="s">
        <v>676</v>
      </c>
      <c r="E104" s="53">
        <v>52</v>
      </c>
      <c r="F104" s="56" t="s">
        <v>677</v>
      </c>
      <c r="G104" s="57" t="s">
        <v>78</v>
      </c>
      <c r="H104" s="58">
        <v>12000</v>
      </c>
      <c r="I104" s="59"/>
      <c r="J104" s="60" t="s">
        <v>2404</v>
      </c>
      <c r="K104" s="623" t="s">
        <v>2404</v>
      </c>
      <c r="L104" s="62"/>
      <c r="M104" s="64"/>
      <c r="N104" s="65"/>
      <c r="O104" s="65"/>
      <c r="P104" s="65"/>
      <c r="Q104" s="65"/>
      <c r="R104" s="65"/>
      <c r="S104" s="65"/>
      <c r="T104" s="67">
        <v>15</v>
      </c>
      <c r="U104" s="67">
        <v>2565</v>
      </c>
      <c r="V104" s="68" t="s">
        <v>2174</v>
      </c>
      <c r="W104" s="69" t="e">
        <v>#REF!</v>
      </c>
      <c r="X104" s="70"/>
      <c r="Y104" s="70"/>
      <c r="Z104" s="70"/>
      <c r="AA104" s="429"/>
      <c r="AB104" s="429"/>
      <c r="AC104" s="429"/>
      <c r="AD104" s="429"/>
      <c r="AE104" s="429"/>
      <c r="AF104" s="429"/>
      <c r="AG104" s="429"/>
      <c r="AH104" s="429"/>
      <c r="AI104" s="429"/>
      <c r="AJ104" s="429"/>
      <c r="AK104" s="429"/>
      <c r="AL104" s="429"/>
      <c r="AM104" s="429"/>
    </row>
    <row r="105" spans="1:39">
      <c r="A105" s="50"/>
      <c r="B105" s="52">
        <v>4140</v>
      </c>
      <c r="C105" s="53" t="s">
        <v>372</v>
      </c>
      <c r="D105" s="55" t="s">
        <v>678</v>
      </c>
      <c r="E105" s="53">
        <v>56</v>
      </c>
      <c r="F105" s="56" t="s">
        <v>679</v>
      </c>
      <c r="G105" s="57" t="s">
        <v>48</v>
      </c>
      <c r="H105" s="58">
        <v>35000</v>
      </c>
      <c r="I105" s="59"/>
      <c r="J105" s="60" t="s">
        <v>2404</v>
      </c>
      <c r="K105" s="623" t="s">
        <v>2404</v>
      </c>
      <c r="L105" s="62" t="s">
        <v>680</v>
      </c>
      <c r="M105" s="64"/>
      <c r="N105" s="65"/>
      <c r="O105" s="65"/>
      <c r="P105" s="65"/>
      <c r="Q105" s="65"/>
      <c r="R105" s="65"/>
      <c r="S105" s="65"/>
      <c r="T105" s="67">
        <v>15</v>
      </c>
      <c r="U105" s="67">
        <v>2569</v>
      </c>
      <c r="V105" s="68" t="s">
        <v>2174</v>
      </c>
      <c r="W105" s="69" t="e">
        <v>#REF!</v>
      </c>
      <c r="X105" s="70" t="s">
        <v>548</v>
      </c>
      <c r="Y105" s="70"/>
      <c r="Z105" s="70"/>
      <c r="AA105" s="429"/>
      <c r="AB105" s="429"/>
      <c r="AC105" s="429"/>
      <c r="AD105" s="429"/>
      <c r="AE105" s="429"/>
      <c r="AF105" s="429"/>
      <c r="AG105" s="429"/>
      <c r="AH105" s="429"/>
      <c r="AI105" s="429"/>
      <c r="AJ105" s="429"/>
      <c r="AK105" s="429"/>
      <c r="AL105" s="429"/>
      <c r="AM105" s="429"/>
    </row>
    <row r="106" spans="1:39">
      <c r="A106" s="50"/>
      <c r="B106" s="52">
        <v>4140</v>
      </c>
      <c r="C106" s="53" t="s">
        <v>157</v>
      </c>
      <c r="D106" s="55" t="s">
        <v>681</v>
      </c>
      <c r="E106" s="53">
        <v>58</v>
      </c>
      <c r="F106" s="56" t="s">
        <v>682</v>
      </c>
      <c r="G106" s="57" t="s">
        <v>78</v>
      </c>
      <c r="H106" s="58">
        <v>19500</v>
      </c>
      <c r="I106" s="59"/>
      <c r="J106" s="60" t="s">
        <v>2404</v>
      </c>
      <c r="K106" s="623" t="s">
        <v>2404</v>
      </c>
      <c r="L106" s="62"/>
      <c r="M106" s="64"/>
      <c r="N106" s="65"/>
      <c r="O106" s="65"/>
      <c r="P106" s="65"/>
      <c r="Q106" s="65"/>
      <c r="R106" s="65"/>
      <c r="S106" s="65"/>
      <c r="T106" s="67"/>
      <c r="U106" s="67">
        <v>2556</v>
      </c>
      <c r="V106" s="68" t="s">
        <v>2174</v>
      </c>
      <c r="W106" s="69" t="e">
        <v>#REF!</v>
      </c>
      <c r="X106" s="70"/>
      <c r="Y106" s="70"/>
      <c r="Z106" s="70"/>
      <c r="AA106" s="429"/>
      <c r="AB106" s="429"/>
      <c r="AC106" s="429"/>
      <c r="AD106" s="429"/>
      <c r="AE106" s="429"/>
      <c r="AF106" s="429"/>
      <c r="AG106" s="429"/>
      <c r="AH106" s="429"/>
      <c r="AI106" s="429"/>
      <c r="AJ106" s="429"/>
      <c r="AK106" s="429"/>
      <c r="AL106" s="429"/>
      <c r="AM106" s="429"/>
    </row>
    <row r="107" spans="1:39">
      <c r="A107" s="37"/>
      <c r="B107" s="629">
        <v>4200</v>
      </c>
      <c r="C107" s="630"/>
      <c r="D107" s="631" t="s">
        <v>4085</v>
      </c>
      <c r="E107" s="621"/>
      <c r="F107" s="621"/>
      <c r="G107" s="37"/>
      <c r="H107" s="37"/>
      <c r="I107" s="625"/>
      <c r="J107" s="626"/>
      <c r="K107" s="621"/>
      <c r="L107" s="621"/>
      <c r="M107" s="90"/>
      <c r="N107" s="37"/>
      <c r="O107" s="37"/>
      <c r="P107" s="625"/>
      <c r="Q107" s="626"/>
      <c r="R107" s="621"/>
      <c r="S107" s="621"/>
      <c r="T107" s="90"/>
      <c r="U107" s="37"/>
      <c r="V107" s="37" t="s">
        <v>2176</v>
      </c>
      <c r="W107" s="37">
        <v>13</v>
      </c>
      <c r="X107" s="626"/>
      <c r="Y107" s="621"/>
      <c r="Z107" s="621"/>
      <c r="AA107" s="430"/>
      <c r="AB107" s="430"/>
      <c r="AC107" s="430"/>
      <c r="AD107" s="430"/>
      <c r="AE107" s="430"/>
      <c r="AF107" s="430"/>
      <c r="AG107" s="430"/>
      <c r="AH107" s="430"/>
      <c r="AI107" s="430"/>
      <c r="AJ107" s="430"/>
      <c r="AK107" s="430"/>
      <c r="AL107" s="430"/>
      <c r="AM107" s="430"/>
    </row>
    <row r="108" spans="1:39">
      <c r="A108" s="50"/>
      <c r="B108" s="52">
        <v>4210</v>
      </c>
      <c r="C108" s="53" t="s">
        <v>683</v>
      </c>
      <c r="D108" s="55" t="s">
        <v>684</v>
      </c>
      <c r="E108" s="53">
        <v>62</v>
      </c>
      <c r="F108" s="56" t="s">
        <v>685</v>
      </c>
      <c r="G108" s="57" t="s">
        <v>78</v>
      </c>
      <c r="H108" s="58">
        <v>12000</v>
      </c>
      <c r="I108" s="59"/>
      <c r="J108" s="60" t="s">
        <v>2405</v>
      </c>
      <c r="K108" s="61"/>
      <c r="L108" s="62"/>
      <c r="M108" s="64"/>
      <c r="N108" s="65"/>
      <c r="O108" s="65"/>
      <c r="P108" s="65"/>
      <c r="Q108" s="65"/>
      <c r="R108" s="65"/>
      <c r="S108" s="65"/>
      <c r="T108" s="67"/>
      <c r="U108" s="67"/>
      <c r="V108" s="68" t="s">
        <v>2176</v>
      </c>
      <c r="W108" s="69" t="e">
        <v>#REF!</v>
      </c>
      <c r="X108" s="70"/>
      <c r="Y108" s="70"/>
      <c r="Z108" s="70"/>
      <c r="AA108" s="429"/>
      <c r="AB108" s="429"/>
      <c r="AC108" s="429"/>
      <c r="AD108" s="429"/>
      <c r="AE108" s="429"/>
      <c r="AF108" s="429"/>
      <c r="AG108" s="429"/>
      <c r="AH108" s="429"/>
      <c r="AI108" s="429"/>
      <c r="AJ108" s="429"/>
      <c r="AK108" s="429"/>
      <c r="AL108" s="429"/>
      <c r="AM108" s="429"/>
    </row>
    <row r="109" spans="1:39">
      <c r="A109" s="50"/>
      <c r="B109" s="52">
        <v>4210</v>
      </c>
      <c r="C109" s="53" t="s">
        <v>683</v>
      </c>
      <c r="D109" s="55" t="s">
        <v>686</v>
      </c>
      <c r="E109" s="53">
        <v>62</v>
      </c>
      <c r="F109" s="56" t="s">
        <v>687</v>
      </c>
      <c r="G109" s="57" t="s">
        <v>78</v>
      </c>
      <c r="H109" s="58">
        <v>15000</v>
      </c>
      <c r="I109" s="59"/>
      <c r="J109" s="60" t="s">
        <v>2405</v>
      </c>
      <c r="K109" s="61"/>
      <c r="L109" s="62"/>
      <c r="M109" s="64"/>
      <c r="N109" s="65"/>
      <c r="O109" s="65"/>
      <c r="P109" s="65"/>
      <c r="Q109" s="65"/>
      <c r="R109" s="65"/>
      <c r="S109" s="65"/>
      <c r="T109" s="67"/>
      <c r="U109" s="67"/>
      <c r="V109" s="68" t="s">
        <v>2176</v>
      </c>
      <c r="W109" s="69" t="e">
        <v>#REF!</v>
      </c>
      <c r="X109" s="70"/>
      <c r="Y109" s="70"/>
      <c r="Z109" s="70"/>
      <c r="AA109" s="429"/>
      <c r="AB109" s="429"/>
      <c r="AC109" s="429"/>
      <c r="AD109" s="429"/>
      <c r="AE109" s="429"/>
      <c r="AF109" s="429"/>
      <c r="AG109" s="429"/>
      <c r="AH109" s="429"/>
      <c r="AI109" s="429"/>
      <c r="AJ109" s="429"/>
      <c r="AK109" s="429"/>
      <c r="AL109" s="429"/>
      <c r="AM109" s="429"/>
    </row>
    <row r="110" spans="1:39">
      <c r="A110" s="50"/>
      <c r="B110" s="52">
        <v>4310</v>
      </c>
      <c r="C110" s="334" t="s">
        <v>683</v>
      </c>
      <c r="D110" s="335" t="s">
        <v>738</v>
      </c>
      <c r="E110" s="334">
        <v>62</v>
      </c>
      <c r="F110" s="336" t="s">
        <v>4113</v>
      </c>
      <c r="G110" s="337" t="s">
        <v>78</v>
      </c>
      <c r="H110" s="338">
        <v>450000</v>
      </c>
      <c r="I110" s="339"/>
      <c r="J110" s="60" t="s">
        <v>2407</v>
      </c>
      <c r="K110" s="61"/>
      <c r="L110" s="62"/>
      <c r="M110" s="64"/>
      <c r="N110" s="65"/>
      <c r="O110" s="65"/>
      <c r="P110" s="65"/>
      <c r="Q110" s="65"/>
      <c r="R110" s="65"/>
      <c r="S110" s="65"/>
      <c r="T110" s="67"/>
      <c r="U110" s="67"/>
      <c r="V110" s="68"/>
      <c r="W110" s="69"/>
      <c r="X110" s="70"/>
      <c r="Y110" s="70"/>
      <c r="Z110" s="70"/>
      <c r="AA110" s="429"/>
      <c r="AB110" s="429"/>
      <c r="AC110" s="429"/>
      <c r="AD110" s="429"/>
      <c r="AE110" s="429"/>
      <c r="AF110" s="429"/>
      <c r="AG110" s="429"/>
      <c r="AH110" s="429"/>
      <c r="AI110" s="429"/>
      <c r="AJ110" s="429"/>
      <c r="AK110" s="429"/>
      <c r="AL110" s="429"/>
      <c r="AM110" s="429"/>
    </row>
    <row r="111" spans="1:39">
      <c r="A111" s="50"/>
      <c r="B111" s="52">
        <v>4210</v>
      </c>
      <c r="C111" s="53" t="s">
        <v>683</v>
      </c>
      <c r="D111" s="55" t="s">
        <v>688</v>
      </c>
      <c r="E111" s="53">
        <v>60</v>
      </c>
      <c r="F111" s="56" t="s">
        <v>689</v>
      </c>
      <c r="G111" s="57" t="s">
        <v>28</v>
      </c>
      <c r="H111" s="58">
        <v>6900000</v>
      </c>
      <c r="I111" s="59"/>
      <c r="J111" s="60" t="s">
        <v>2405</v>
      </c>
      <c r="K111" s="61"/>
      <c r="L111" s="62"/>
      <c r="M111" s="64"/>
      <c r="N111" s="65"/>
      <c r="O111" s="65"/>
      <c r="P111" s="65"/>
      <c r="Q111" s="65"/>
      <c r="R111" s="65"/>
      <c r="S111" s="65"/>
      <c r="T111" s="67"/>
      <c r="U111" s="67">
        <v>2558</v>
      </c>
      <c r="V111" s="68" t="s">
        <v>2176</v>
      </c>
      <c r="W111" s="69" t="e">
        <v>#REF!</v>
      </c>
      <c r="X111" s="70"/>
      <c r="Y111" s="70"/>
      <c r="Z111" s="70"/>
      <c r="AA111" s="429"/>
      <c r="AB111" s="429"/>
      <c r="AC111" s="429"/>
      <c r="AD111" s="429"/>
      <c r="AE111" s="429"/>
      <c r="AF111" s="429"/>
      <c r="AG111" s="429"/>
      <c r="AH111" s="429"/>
      <c r="AI111" s="429"/>
      <c r="AJ111" s="429"/>
      <c r="AK111" s="429"/>
      <c r="AL111" s="429"/>
      <c r="AM111" s="429"/>
    </row>
    <row r="112" spans="1:39">
      <c r="A112" s="50"/>
      <c r="B112" s="52">
        <v>4210</v>
      </c>
      <c r="C112" s="53" t="s">
        <v>683</v>
      </c>
      <c r="D112" s="55" t="s">
        <v>692</v>
      </c>
      <c r="E112" s="53">
        <v>60</v>
      </c>
      <c r="F112" s="56" t="s">
        <v>693</v>
      </c>
      <c r="G112" s="57" t="s">
        <v>28</v>
      </c>
      <c r="H112" s="58">
        <v>2500000</v>
      </c>
      <c r="I112" s="59"/>
      <c r="J112" s="60" t="s">
        <v>2405</v>
      </c>
      <c r="K112" s="61"/>
      <c r="L112" s="62"/>
      <c r="M112" s="64"/>
      <c r="N112" s="65"/>
      <c r="O112" s="65"/>
      <c r="P112" s="65"/>
      <c r="Q112" s="65"/>
      <c r="R112" s="65"/>
      <c r="S112" s="65"/>
      <c r="T112" s="67"/>
      <c r="U112" s="67">
        <v>2558</v>
      </c>
      <c r="V112" s="68" t="s">
        <v>2176</v>
      </c>
      <c r="W112" s="69" t="e">
        <v>#REF!</v>
      </c>
      <c r="X112" s="70"/>
      <c r="Y112" s="70"/>
      <c r="Z112" s="70"/>
      <c r="AA112" s="429"/>
      <c r="AB112" s="429"/>
      <c r="AC112" s="429"/>
      <c r="AD112" s="429"/>
      <c r="AE112" s="429"/>
      <c r="AF112" s="429"/>
      <c r="AG112" s="429"/>
      <c r="AH112" s="429"/>
      <c r="AI112" s="429"/>
      <c r="AJ112" s="429"/>
      <c r="AK112" s="429"/>
      <c r="AL112" s="429"/>
      <c r="AM112" s="429"/>
    </row>
    <row r="113" spans="1:39">
      <c r="A113" s="50"/>
      <c r="B113" s="52">
        <v>4210</v>
      </c>
      <c r="C113" s="53" t="s">
        <v>683</v>
      </c>
      <c r="D113" s="55" t="s">
        <v>694</v>
      </c>
      <c r="E113" s="53">
        <v>59</v>
      </c>
      <c r="F113" s="56" t="s">
        <v>695</v>
      </c>
      <c r="G113" s="57" t="s">
        <v>28</v>
      </c>
      <c r="H113" s="58">
        <v>32000000</v>
      </c>
      <c r="I113" s="59">
        <v>42591</v>
      </c>
      <c r="J113" s="60" t="s">
        <v>2405</v>
      </c>
      <c r="K113" s="61"/>
      <c r="L113" s="62"/>
      <c r="M113" s="64"/>
      <c r="N113" s="65"/>
      <c r="O113" s="65"/>
      <c r="P113" s="65"/>
      <c r="Q113" s="65"/>
      <c r="R113" s="65"/>
      <c r="S113" s="65"/>
      <c r="T113" s="67"/>
      <c r="U113" s="67">
        <v>2557</v>
      </c>
      <c r="V113" s="68" t="s">
        <v>2176</v>
      </c>
      <c r="W113" s="69" t="e">
        <v>#REF!</v>
      </c>
      <c r="X113" s="70"/>
      <c r="Y113" s="70"/>
      <c r="Z113" s="70"/>
      <c r="AA113" s="429"/>
      <c r="AB113" s="429"/>
      <c r="AC113" s="429"/>
      <c r="AD113" s="429"/>
      <c r="AE113" s="429"/>
      <c r="AF113" s="429"/>
      <c r="AG113" s="429"/>
      <c r="AH113" s="429"/>
      <c r="AI113" s="429"/>
      <c r="AJ113" s="429"/>
      <c r="AK113" s="429"/>
      <c r="AL113" s="429"/>
      <c r="AM113" s="429"/>
    </row>
    <row r="114" spans="1:39">
      <c r="A114" s="50"/>
      <c r="B114" s="52">
        <v>4210</v>
      </c>
      <c r="C114" s="53" t="s">
        <v>683</v>
      </c>
      <c r="D114" s="55" t="s">
        <v>696</v>
      </c>
      <c r="E114" s="53">
        <v>59</v>
      </c>
      <c r="F114" s="56" t="s">
        <v>697</v>
      </c>
      <c r="G114" s="57" t="s">
        <v>28</v>
      </c>
      <c r="H114" s="58">
        <v>12000000</v>
      </c>
      <c r="I114" s="59">
        <v>42591</v>
      </c>
      <c r="J114" s="60" t="s">
        <v>2405</v>
      </c>
      <c r="K114" s="61"/>
      <c r="L114" s="62"/>
      <c r="M114" s="64"/>
      <c r="N114" s="65"/>
      <c r="O114" s="65"/>
      <c r="P114" s="65"/>
      <c r="Q114" s="65"/>
      <c r="R114" s="65"/>
      <c r="S114" s="65"/>
      <c r="T114" s="67"/>
      <c r="U114" s="67">
        <v>2557</v>
      </c>
      <c r="V114" s="68" t="s">
        <v>2176</v>
      </c>
      <c r="W114" s="69" t="e">
        <v>#REF!</v>
      </c>
      <c r="X114" s="70"/>
      <c r="Y114" s="70"/>
      <c r="Z114" s="70"/>
      <c r="AA114" s="429"/>
      <c r="AB114" s="429"/>
      <c r="AC114" s="429"/>
      <c r="AD114" s="429"/>
      <c r="AE114" s="429"/>
      <c r="AF114" s="429"/>
      <c r="AG114" s="429"/>
      <c r="AH114" s="429"/>
      <c r="AI114" s="429"/>
      <c r="AJ114" s="429"/>
      <c r="AK114" s="429"/>
      <c r="AL114" s="429"/>
      <c r="AM114" s="429"/>
    </row>
    <row r="115" spans="1:39">
      <c r="A115" s="50"/>
      <c r="B115" s="52">
        <v>4210</v>
      </c>
      <c r="C115" s="53" t="s">
        <v>683</v>
      </c>
      <c r="D115" s="55" t="s">
        <v>698</v>
      </c>
      <c r="E115" s="53">
        <v>62</v>
      </c>
      <c r="F115" s="56" t="s">
        <v>699</v>
      </c>
      <c r="G115" s="57" t="s">
        <v>28</v>
      </c>
      <c r="H115" s="58">
        <v>3500000</v>
      </c>
      <c r="I115" s="59"/>
      <c r="J115" s="60" t="s">
        <v>2405</v>
      </c>
      <c r="K115" s="61"/>
      <c r="L115" s="62"/>
      <c r="M115" s="64"/>
      <c r="N115" s="65"/>
      <c r="O115" s="65"/>
      <c r="P115" s="65"/>
      <c r="Q115" s="65"/>
      <c r="R115" s="65"/>
      <c r="S115" s="65"/>
      <c r="T115" s="67"/>
      <c r="U115" s="67"/>
      <c r="V115" s="68" t="s">
        <v>2176</v>
      </c>
      <c r="W115" s="69" t="e">
        <v>#REF!</v>
      </c>
      <c r="X115" s="70"/>
      <c r="Y115" s="70"/>
      <c r="Z115" s="70"/>
      <c r="AA115" s="429"/>
      <c r="AB115" s="429"/>
      <c r="AC115" s="429"/>
      <c r="AD115" s="429"/>
      <c r="AE115" s="429"/>
      <c r="AF115" s="429"/>
      <c r="AG115" s="429"/>
      <c r="AH115" s="429"/>
      <c r="AI115" s="429"/>
      <c r="AJ115" s="429"/>
      <c r="AK115" s="429"/>
      <c r="AL115" s="429"/>
      <c r="AM115" s="429"/>
    </row>
    <row r="116" spans="1:39">
      <c r="A116" s="50"/>
      <c r="B116" s="52">
        <v>4320</v>
      </c>
      <c r="C116" s="334" t="s">
        <v>256</v>
      </c>
      <c r="D116" s="335" t="s">
        <v>837</v>
      </c>
      <c r="E116" s="334">
        <v>54</v>
      </c>
      <c r="F116" s="336" t="s">
        <v>838</v>
      </c>
      <c r="G116" s="337" t="s">
        <v>78</v>
      </c>
      <c r="H116" s="338">
        <v>950000</v>
      </c>
      <c r="I116" s="339"/>
      <c r="J116" s="60" t="s">
        <v>2409</v>
      </c>
      <c r="K116" s="623" t="s">
        <v>2409</v>
      </c>
      <c r="L116" s="62"/>
      <c r="M116" s="64"/>
      <c r="N116" s="65"/>
      <c r="O116" s="65"/>
      <c r="P116" s="65"/>
      <c r="Q116" s="65"/>
      <c r="R116" s="65"/>
      <c r="S116" s="65"/>
      <c r="T116" s="67"/>
      <c r="U116" s="67"/>
      <c r="V116" s="68"/>
      <c r="W116" s="69"/>
      <c r="X116" s="70"/>
      <c r="Y116" s="70"/>
      <c r="Z116" s="70"/>
      <c r="AA116" s="429"/>
      <c r="AB116" s="429"/>
      <c r="AC116" s="429"/>
      <c r="AD116" s="429"/>
      <c r="AE116" s="429"/>
      <c r="AF116" s="429"/>
      <c r="AG116" s="429"/>
      <c r="AH116" s="429"/>
      <c r="AI116" s="429"/>
      <c r="AJ116" s="429"/>
      <c r="AK116" s="429"/>
      <c r="AL116" s="429"/>
      <c r="AM116" s="429"/>
    </row>
    <row r="117" spans="1:39">
      <c r="A117" s="50"/>
      <c r="B117" s="52">
        <v>4320</v>
      </c>
      <c r="C117" s="334" t="s">
        <v>256</v>
      </c>
      <c r="D117" s="335" t="s">
        <v>850</v>
      </c>
      <c r="E117" s="334">
        <v>54</v>
      </c>
      <c r="F117" s="336" t="s">
        <v>851</v>
      </c>
      <c r="G117" s="337" t="s">
        <v>78</v>
      </c>
      <c r="H117" s="338">
        <v>406800</v>
      </c>
      <c r="I117" s="339"/>
      <c r="J117" s="60" t="s">
        <v>2409</v>
      </c>
      <c r="K117" s="623" t="s">
        <v>2426</v>
      </c>
      <c r="L117" s="62"/>
      <c r="M117" s="64"/>
      <c r="N117" s="65"/>
      <c r="O117" s="65"/>
      <c r="P117" s="65"/>
      <c r="Q117" s="65"/>
      <c r="R117" s="65"/>
      <c r="S117" s="65"/>
      <c r="T117" s="67"/>
      <c r="U117" s="67"/>
      <c r="V117" s="68"/>
      <c r="W117" s="69"/>
      <c r="X117" s="70"/>
      <c r="Y117" s="70"/>
      <c r="Z117" s="70"/>
      <c r="AA117" s="429"/>
      <c r="AB117" s="429"/>
      <c r="AC117" s="429"/>
      <c r="AD117" s="429"/>
      <c r="AE117" s="429"/>
      <c r="AF117" s="429"/>
      <c r="AG117" s="429"/>
      <c r="AH117" s="429"/>
      <c r="AI117" s="429"/>
      <c r="AJ117" s="429"/>
      <c r="AK117" s="429"/>
      <c r="AL117" s="429"/>
      <c r="AM117" s="429"/>
    </row>
    <row r="118" spans="1:39">
      <c r="A118" s="50"/>
      <c r="B118" s="52">
        <v>4210</v>
      </c>
      <c r="C118" s="358" t="s">
        <v>37</v>
      </c>
      <c r="D118" s="359" t="s">
        <v>702</v>
      </c>
      <c r="E118" s="358">
        <v>58</v>
      </c>
      <c r="F118" s="360" t="s">
        <v>4112</v>
      </c>
      <c r="G118" s="361" t="s">
        <v>704</v>
      </c>
      <c r="H118" s="362">
        <v>1490000</v>
      </c>
      <c r="I118" s="363"/>
      <c r="J118" s="60" t="s">
        <v>2405</v>
      </c>
      <c r="K118" s="623" t="s">
        <v>2405</v>
      </c>
      <c r="L118" s="62"/>
      <c r="M118" s="64"/>
      <c r="N118" s="65"/>
      <c r="O118" s="65"/>
      <c r="P118" s="65"/>
      <c r="Q118" s="65"/>
      <c r="R118" s="65"/>
      <c r="S118" s="65"/>
      <c r="T118" s="67"/>
      <c r="U118" s="67">
        <v>2556</v>
      </c>
      <c r="V118" s="68" t="s">
        <v>2176</v>
      </c>
      <c r="W118" s="69" t="e">
        <v>#REF!</v>
      </c>
      <c r="X118" s="70"/>
      <c r="Y118" s="70"/>
      <c r="Z118" s="70"/>
      <c r="AA118" s="429"/>
      <c r="AB118" s="429"/>
      <c r="AC118" s="429"/>
      <c r="AD118" s="429"/>
      <c r="AE118" s="429"/>
      <c r="AF118" s="429"/>
      <c r="AG118" s="429"/>
      <c r="AH118" s="429"/>
      <c r="AI118" s="429"/>
      <c r="AJ118" s="429"/>
      <c r="AK118" s="429"/>
      <c r="AL118" s="429"/>
      <c r="AM118" s="429"/>
    </row>
    <row r="119" spans="1:39" ht="31.5">
      <c r="A119" s="50"/>
      <c r="B119" s="52">
        <v>4210</v>
      </c>
      <c r="C119" s="53" t="s">
        <v>683</v>
      </c>
      <c r="D119" s="55" t="s">
        <v>705</v>
      </c>
      <c r="E119" s="53">
        <v>62</v>
      </c>
      <c r="F119" s="56" t="s">
        <v>706</v>
      </c>
      <c r="G119" s="57" t="s">
        <v>707</v>
      </c>
      <c r="H119" s="58">
        <v>14700</v>
      </c>
      <c r="I119" s="59"/>
      <c r="J119" s="60" t="s">
        <v>2405</v>
      </c>
      <c r="K119" s="61"/>
      <c r="L119" s="62"/>
      <c r="M119" s="64"/>
      <c r="N119" s="65"/>
      <c r="O119" s="65"/>
      <c r="P119" s="65"/>
      <c r="Q119" s="65"/>
      <c r="R119" s="65"/>
      <c r="S119" s="65"/>
      <c r="T119" s="67"/>
      <c r="U119" s="67"/>
      <c r="V119" s="68" t="s">
        <v>2176</v>
      </c>
      <c r="W119" s="69" t="e">
        <v>#REF!</v>
      </c>
      <c r="X119" s="70"/>
      <c r="Y119" s="70"/>
      <c r="Z119" s="70"/>
      <c r="AA119" s="429"/>
      <c r="AB119" s="429"/>
      <c r="AC119" s="429"/>
      <c r="AD119" s="429"/>
      <c r="AE119" s="429"/>
      <c r="AF119" s="429"/>
      <c r="AG119" s="429"/>
      <c r="AH119" s="429"/>
      <c r="AI119" s="429"/>
      <c r="AJ119" s="429"/>
      <c r="AK119" s="429"/>
      <c r="AL119" s="429"/>
      <c r="AM119" s="429"/>
    </row>
    <row r="120" spans="1:39" ht="31.5">
      <c r="A120" s="50"/>
      <c r="B120" s="52">
        <v>4210</v>
      </c>
      <c r="C120" s="53" t="s">
        <v>683</v>
      </c>
      <c r="D120" s="55" t="s">
        <v>708</v>
      </c>
      <c r="E120" s="53">
        <v>62</v>
      </c>
      <c r="F120" s="56" t="s">
        <v>709</v>
      </c>
      <c r="G120" s="57" t="s">
        <v>707</v>
      </c>
      <c r="H120" s="58">
        <v>16200</v>
      </c>
      <c r="I120" s="59"/>
      <c r="J120" s="60" t="s">
        <v>2405</v>
      </c>
      <c r="K120" s="61"/>
      <c r="L120" s="62"/>
      <c r="M120" s="64"/>
      <c r="N120" s="65"/>
      <c r="O120" s="65"/>
      <c r="P120" s="65"/>
      <c r="Q120" s="65"/>
      <c r="R120" s="65"/>
      <c r="S120" s="65"/>
      <c r="T120" s="67"/>
      <c r="U120" s="67"/>
      <c r="V120" s="68" t="s">
        <v>2176</v>
      </c>
      <c r="W120" s="69" t="e">
        <v>#REF!</v>
      </c>
      <c r="X120" s="70"/>
      <c r="Y120" s="70"/>
      <c r="Z120" s="70"/>
      <c r="AA120" s="429"/>
      <c r="AB120" s="429"/>
      <c r="AC120" s="429"/>
      <c r="AD120" s="429"/>
      <c r="AE120" s="429"/>
      <c r="AF120" s="429"/>
      <c r="AG120" s="429"/>
      <c r="AH120" s="429"/>
      <c r="AI120" s="429"/>
      <c r="AJ120" s="429"/>
      <c r="AK120" s="429"/>
      <c r="AL120" s="429"/>
      <c r="AM120" s="429"/>
    </row>
    <row r="121" spans="1:39">
      <c r="A121" s="50"/>
      <c r="B121" s="52">
        <v>4210</v>
      </c>
      <c r="C121" s="53" t="s">
        <v>683</v>
      </c>
      <c r="D121" s="55" t="s">
        <v>710</v>
      </c>
      <c r="E121" s="53">
        <v>54</v>
      </c>
      <c r="F121" s="56" t="s">
        <v>711</v>
      </c>
      <c r="G121" s="57" t="s">
        <v>712</v>
      </c>
      <c r="H121" s="58">
        <v>33000</v>
      </c>
      <c r="I121" s="59"/>
      <c r="J121" s="60" t="s">
        <v>2405</v>
      </c>
      <c r="K121" s="623" t="s">
        <v>2405</v>
      </c>
      <c r="L121" s="62"/>
      <c r="M121" s="64"/>
      <c r="N121" s="65"/>
      <c r="O121" s="65"/>
      <c r="P121" s="65"/>
      <c r="Q121" s="65"/>
      <c r="R121" s="65"/>
      <c r="S121" s="65"/>
      <c r="T121" s="67">
        <v>10</v>
      </c>
      <c r="U121" s="67">
        <v>2562</v>
      </c>
      <c r="V121" s="68" t="s">
        <v>2176</v>
      </c>
      <c r="W121" s="69" t="e">
        <v>#REF!</v>
      </c>
      <c r="X121" s="70"/>
      <c r="Y121" s="70"/>
      <c r="Z121" s="70"/>
      <c r="AA121" s="429"/>
      <c r="AB121" s="429"/>
      <c r="AC121" s="429"/>
      <c r="AD121" s="429"/>
      <c r="AE121" s="429"/>
      <c r="AF121" s="429"/>
      <c r="AG121" s="429"/>
      <c r="AH121" s="429"/>
      <c r="AI121" s="429"/>
      <c r="AJ121" s="429"/>
      <c r="AK121" s="429"/>
      <c r="AL121" s="429"/>
      <c r="AM121" s="429"/>
    </row>
    <row r="122" spans="1:39">
      <c r="A122" s="50"/>
      <c r="B122" s="52">
        <v>4210</v>
      </c>
      <c r="C122" s="53" t="s">
        <v>683</v>
      </c>
      <c r="D122" s="55" t="s">
        <v>714</v>
      </c>
      <c r="E122" s="53">
        <v>54</v>
      </c>
      <c r="F122" s="56" t="s">
        <v>715</v>
      </c>
      <c r="G122" s="57" t="s">
        <v>712</v>
      </c>
      <c r="H122" s="58">
        <v>39600</v>
      </c>
      <c r="I122" s="59"/>
      <c r="J122" s="60" t="s">
        <v>2405</v>
      </c>
      <c r="K122" s="623" t="s">
        <v>2405</v>
      </c>
      <c r="L122" s="62"/>
      <c r="M122" s="64"/>
      <c r="N122" s="65"/>
      <c r="O122" s="65"/>
      <c r="P122" s="65"/>
      <c r="Q122" s="65"/>
      <c r="R122" s="65"/>
      <c r="S122" s="65"/>
      <c r="T122" s="67">
        <v>10</v>
      </c>
      <c r="U122" s="67">
        <v>2562</v>
      </c>
      <c r="V122" s="68" t="s">
        <v>2176</v>
      </c>
      <c r="W122" s="69" t="e">
        <v>#REF!</v>
      </c>
      <c r="X122" s="70"/>
      <c r="Y122" s="70"/>
      <c r="Z122" s="70"/>
      <c r="AA122" s="429"/>
      <c r="AB122" s="429"/>
      <c r="AC122" s="429"/>
      <c r="AD122" s="429"/>
      <c r="AE122" s="429"/>
      <c r="AF122" s="429"/>
      <c r="AG122" s="429"/>
      <c r="AH122" s="429"/>
      <c r="AI122" s="429"/>
      <c r="AJ122" s="429"/>
      <c r="AK122" s="429"/>
      <c r="AL122" s="429"/>
      <c r="AM122" s="429"/>
    </row>
    <row r="123" spans="1:39">
      <c r="A123" s="50"/>
      <c r="B123" s="52">
        <v>4210</v>
      </c>
      <c r="C123" s="53" t="s">
        <v>256</v>
      </c>
      <c r="D123" s="55" t="s">
        <v>717</v>
      </c>
      <c r="E123" s="53">
        <v>57</v>
      </c>
      <c r="F123" s="56" t="s">
        <v>718</v>
      </c>
      <c r="G123" s="57" t="s">
        <v>273</v>
      </c>
      <c r="H123" s="58">
        <v>40000</v>
      </c>
      <c r="I123" s="59"/>
      <c r="J123" s="101"/>
      <c r="K123" s="623" t="s">
        <v>2405</v>
      </c>
      <c r="L123" s="62"/>
      <c r="M123" s="64"/>
      <c r="N123" s="65"/>
      <c r="O123" s="65"/>
      <c r="P123" s="65"/>
      <c r="Q123" s="65"/>
      <c r="R123" s="65"/>
      <c r="S123" s="65"/>
      <c r="T123" s="67"/>
      <c r="U123" s="67"/>
      <c r="V123" s="68" t="s">
        <v>2176</v>
      </c>
      <c r="W123" s="69" t="e">
        <v>#REF!</v>
      </c>
      <c r="X123" s="70"/>
      <c r="Y123" s="70"/>
      <c r="Z123" s="70"/>
      <c r="AA123" s="429"/>
      <c r="AB123" s="429"/>
      <c r="AC123" s="429"/>
      <c r="AD123" s="429"/>
      <c r="AE123" s="429"/>
      <c r="AF123" s="429"/>
      <c r="AG123" s="429"/>
      <c r="AH123" s="429"/>
      <c r="AI123" s="429"/>
      <c r="AJ123" s="429"/>
      <c r="AK123" s="429"/>
      <c r="AL123" s="429"/>
      <c r="AM123" s="429"/>
    </row>
    <row r="124" spans="1:39">
      <c r="A124" s="37"/>
      <c r="B124" s="629">
        <v>4300</v>
      </c>
      <c r="C124" s="630"/>
      <c r="D124" s="631" t="s">
        <v>4086</v>
      </c>
      <c r="E124" s="621"/>
      <c r="F124" s="621"/>
      <c r="G124" s="37"/>
      <c r="H124" s="37"/>
      <c r="I124" s="625"/>
      <c r="J124" s="626"/>
      <c r="K124" s="621"/>
      <c r="L124" s="621"/>
      <c r="M124" s="90"/>
      <c r="N124" s="37"/>
      <c r="O124" s="37"/>
      <c r="P124" s="625"/>
      <c r="Q124" s="626"/>
      <c r="R124" s="621"/>
      <c r="S124" s="621"/>
      <c r="T124" s="90"/>
      <c r="U124" s="37"/>
      <c r="V124" s="37" t="s">
        <v>2178</v>
      </c>
      <c r="W124" s="37">
        <v>37</v>
      </c>
      <c r="X124" s="626"/>
      <c r="Y124" s="621"/>
      <c r="Z124" s="621"/>
      <c r="AA124" s="430"/>
      <c r="AB124" s="430"/>
      <c r="AC124" s="430"/>
      <c r="AD124" s="430"/>
      <c r="AE124" s="430"/>
      <c r="AF124" s="430"/>
      <c r="AG124" s="430"/>
      <c r="AH124" s="430"/>
      <c r="AI124" s="430"/>
      <c r="AJ124" s="430"/>
      <c r="AK124" s="430"/>
      <c r="AL124" s="430"/>
      <c r="AM124" s="430"/>
    </row>
    <row r="125" spans="1:39">
      <c r="A125" s="50"/>
      <c r="B125" s="52">
        <v>4310</v>
      </c>
      <c r="C125" s="53" t="s">
        <v>157</v>
      </c>
      <c r="D125" s="55" t="s">
        <v>722</v>
      </c>
      <c r="E125" s="53">
        <v>53</v>
      </c>
      <c r="F125" s="56" t="s">
        <v>724</v>
      </c>
      <c r="G125" s="57" t="s">
        <v>78</v>
      </c>
      <c r="H125" s="58">
        <v>9500</v>
      </c>
      <c r="I125" s="59"/>
      <c r="J125" s="60" t="s">
        <v>2407</v>
      </c>
      <c r="K125" s="623" t="s">
        <v>2407</v>
      </c>
      <c r="L125" s="62"/>
      <c r="M125" s="64"/>
      <c r="N125" s="65"/>
      <c r="O125" s="65"/>
      <c r="P125" s="65"/>
      <c r="Q125" s="65"/>
      <c r="R125" s="65"/>
      <c r="S125" s="65"/>
      <c r="T125" s="67">
        <v>15</v>
      </c>
      <c r="U125" s="67">
        <v>2566</v>
      </c>
      <c r="V125" s="68" t="s">
        <v>2178</v>
      </c>
      <c r="W125" s="69" t="e">
        <v>#REF!</v>
      </c>
      <c r="X125" s="70"/>
      <c r="Y125" s="70"/>
      <c r="Z125" s="70"/>
      <c r="AA125" s="429"/>
      <c r="AB125" s="429"/>
      <c r="AC125" s="429"/>
      <c r="AD125" s="429"/>
      <c r="AE125" s="429"/>
      <c r="AF125" s="429"/>
      <c r="AG125" s="429"/>
      <c r="AH125" s="429"/>
      <c r="AI125" s="429"/>
      <c r="AJ125" s="429"/>
      <c r="AK125" s="429"/>
      <c r="AL125" s="429"/>
      <c r="AM125" s="429"/>
    </row>
    <row r="126" spans="1:39">
      <c r="A126" s="50"/>
      <c r="B126" s="52">
        <v>4310</v>
      </c>
      <c r="C126" s="53" t="s">
        <v>157</v>
      </c>
      <c r="D126" s="55" t="s">
        <v>749</v>
      </c>
      <c r="E126" s="53">
        <v>54</v>
      </c>
      <c r="F126" s="56" t="s">
        <v>751</v>
      </c>
      <c r="G126" s="57" t="s">
        <v>78</v>
      </c>
      <c r="H126" s="58">
        <v>28000</v>
      </c>
      <c r="I126" s="59"/>
      <c r="J126" s="60" t="s">
        <v>2407</v>
      </c>
      <c r="K126" s="623" t="s">
        <v>2407</v>
      </c>
      <c r="L126" s="62"/>
      <c r="M126" s="64"/>
      <c r="N126" s="65"/>
      <c r="O126" s="65"/>
      <c r="P126" s="65"/>
      <c r="Q126" s="65"/>
      <c r="R126" s="65"/>
      <c r="S126" s="65"/>
      <c r="T126" s="67">
        <v>15</v>
      </c>
      <c r="U126" s="67">
        <v>2567</v>
      </c>
      <c r="V126" s="68" t="s">
        <v>2178</v>
      </c>
      <c r="W126" s="69" t="e">
        <v>#REF!</v>
      </c>
      <c r="X126" s="70"/>
      <c r="Y126" s="70"/>
      <c r="Z126" s="70"/>
      <c r="AA126" s="429"/>
      <c r="AB126" s="429"/>
      <c r="AC126" s="429"/>
      <c r="AD126" s="429"/>
      <c r="AE126" s="429"/>
      <c r="AF126" s="429"/>
      <c r="AG126" s="429"/>
      <c r="AH126" s="429"/>
      <c r="AI126" s="429"/>
      <c r="AJ126" s="429"/>
      <c r="AK126" s="429"/>
      <c r="AL126" s="429"/>
      <c r="AM126" s="429"/>
    </row>
    <row r="127" spans="1:39">
      <c r="A127" s="50"/>
      <c r="B127" s="52">
        <v>4310</v>
      </c>
      <c r="C127" s="53" t="s">
        <v>157</v>
      </c>
      <c r="D127" s="55" t="s">
        <v>763</v>
      </c>
      <c r="E127" s="53">
        <v>55</v>
      </c>
      <c r="F127" s="56" t="s">
        <v>764</v>
      </c>
      <c r="G127" s="57" t="s">
        <v>78</v>
      </c>
      <c r="H127" s="58">
        <v>29500</v>
      </c>
      <c r="I127" s="59"/>
      <c r="J127" s="60" t="s">
        <v>2407</v>
      </c>
      <c r="K127" s="623" t="s">
        <v>2407</v>
      </c>
      <c r="L127" s="62"/>
      <c r="M127" s="64"/>
      <c r="N127" s="65"/>
      <c r="O127" s="65"/>
      <c r="P127" s="65"/>
      <c r="Q127" s="65"/>
      <c r="R127" s="65"/>
      <c r="S127" s="65"/>
      <c r="T127" s="67">
        <v>15</v>
      </c>
      <c r="U127" s="67">
        <v>2568</v>
      </c>
      <c r="V127" s="68" t="s">
        <v>2178</v>
      </c>
      <c r="W127" s="69" t="e">
        <v>#REF!</v>
      </c>
      <c r="X127" s="70"/>
      <c r="Y127" s="70"/>
      <c r="Z127" s="70"/>
      <c r="AA127" s="429"/>
      <c r="AB127" s="429"/>
      <c r="AC127" s="429"/>
      <c r="AD127" s="429"/>
      <c r="AE127" s="429"/>
      <c r="AF127" s="429"/>
      <c r="AG127" s="429"/>
      <c r="AH127" s="429"/>
      <c r="AI127" s="429"/>
      <c r="AJ127" s="429"/>
      <c r="AK127" s="429"/>
      <c r="AL127" s="429"/>
      <c r="AM127" s="429"/>
    </row>
    <row r="128" spans="1:39">
      <c r="A128" s="50"/>
      <c r="B128" s="52">
        <v>4310</v>
      </c>
      <c r="C128" s="53" t="s">
        <v>157</v>
      </c>
      <c r="D128" s="55" t="s">
        <v>775</v>
      </c>
      <c r="E128" s="53">
        <v>53</v>
      </c>
      <c r="F128" s="56" t="s">
        <v>776</v>
      </c>
      <c r="G128" s="57" t="s">
        <v>78</v>
      </c>
      <c r="H128" s="58">
        <v>165000</v>
      </c>
      <c r="I128" s="59"/>
      <c r="J128" s="60" t="s">
        <v>2407</v>
      </c>
      <c r="K128" s="623" t="s">
        <v>2407</v>
      </c>
      <c r="L128" s="62"/>
      <c r="M128" s="64"/>
      <c r="N128" s="65"/>
      <c r="O128" s="65"/>
      <c r="P128" s="65"/>
      <c r="Q128" s="65"/>
      <c r="R128" s="65"/>
      <c r="S128" s="65"/>
      <c r="T128" s="67">
        <v>15</v>
      </c>
      <c r="U128" s="67">
        <v>2566</v>
      </c>
      <c r="V128" s="68" t="s">
        <v>2178</v>
      </c>
      <c r="W128" s="69" t="e">
        <v>#REF!</v>
      </c>
      <c r="X128" s="70"/>
      <c r="Y128" s="70"/>
      <c r="Z128" s="70"/>
      <c r="AA128" s="429"/>
      <c r="AB128" s="429"/>
      <c r="AC128" s="429"/>
      <c r="AD128" s="429"/>
      <c r="AE128" s="429"/>
      <c r="AF128" s="429"/>
      <c r="AG128" s="429"/>
      <c r="AH128" s="429"/>
      <c r="AI128" s="429"/>
      <c r="AJ128" s="429"/>
      <c r="AK128" s="429"/>
      <c r="AL128" s="429"/>
      <c r="AM128" s="429"/>
    </row>
    <row r="129" spans="1:39" ht="31.5">
      <c r="A129" s="50"/>
      <c r="B129" s="52">
        <v>4320</v>
      </c>
      <c r="C129" s="334" t="s">
        <v>256</v>
      </c>
      <c r="D129" s="335" t="s">
        <v>837</v>
      </c>
      <c r="E129" s="334">
        <v>54</v>
      </c>
      <c r="F129" s="336" t="s">
        <v>4117</v>
      </c>
      <c r="G129" s="337" t="s">
        <v>78</v>
      </c>
      <c r="H129" s="338">
        <v>950000</v>
      </c>
      <c r="I129" s="339"/>
      <c r="J129" s="60" t="s">
        <v>2409</v>
      </c>
      <c r="K129" s="623" t="s">
        <v>2409</v>
      </c>
      <c r="L129" s="62"/>
      <c r="M129" s="64"/>
      <c r="N129" s="65"/>
      <c r="O129" s="65"/>
      <c r="P129" s="65"/>
      <c r="Q129" s="65"/>
      <c r="R129" s="65"/>
      <c r="S129" s="65"/>
      <c r="T129" s="67"/>
      <c r="U129" s="67"/>
      <c r="V129" s="68"/>
      <c r="W129" s="69"/>
      <c r="X129" s="70"/>
      <c r="Y129" s="70"/>
      <c r="Z129" s="70"/>
      <c r="AA129" s="429"/>
      <c r="AB129" s="429"/>
      <c r="AC129" s="429"/>
      <c r="AD129" s="429"/>
      <c r="AE129" s="429"/>
      <c r="AF129" s="429"/>
      <c r="AG129" s="429"/>
      <c r="AH129" s="429"/>
      <c r="AI129" s="429"/>
      <c r="AJ129" s="429"/>
      <c r="AK129" s="429"/>
      <c r="AL129" s="429"/>
      <c r="AM129" s="429"/>
    </row>
    <row r="130" spans="1:39" ht="31.5">
      <c r="A130" s="50"/>
      <c r="B130" s="52">
        <v>4320</v>
      </c>
      <c r="C130" s="334" t="s">
        <v>256</v>
      </c>
      <c r="D130" s="335" t="s">
        <v>850</v>
      </c>
      <c r="E130" s="334">
        <v>54</v>
      </c>
      <c r="F130" s="336" t="s">
        <v>4118</v>
      </c>
      <c r="G130" s="337" t="s">
        <v>78</v>
      </c>
      <c r="H130" s="338">
        <v>406800</v>
      </c>
      <c r="I130" s="339"/>
      <c r="J130" s="60" t="s">
        <v>2409</v>
      </c>
      <c r="K130" s="623" t="s">
        <v>2426</v>
      </c>
      <c r="L130" s="62"/>
      <c r="M130" s="64"/>
      <c r="N130" s="65"/>
      <c r="O130" s="65"/>
      <c r="P130" s="65"/>
      <c r="Q130" s="65"/>
      <c r="R130" s="65"/>
      <c r="S130" s="65"/>
      <c r="T130" s="67"/>
      <c r="U130" s="67"/>
      <c r="V130" s="68"/>
      <c r="W130" s="69"/>
      <c r="X130" s="70"/>
      <c r="Y130" s="70"/>
      <c r="Z130" s="70"/>
      <c r="AA130" s="429"/>
      <c r="AB130" s="429"/>
      <c r="AC130" s="429"/>
      <c r="AD130" s="429"/>
      <c r="AE130" s="429"/>
      <c r="AF130" s="429"/>
      <c r="AG130" s="429"/>
      <c r="AH130" s="429"/>
      <c r="AI130" s="429"/>
      <c r="AJ130" s="429"/>
      <c r="AK130" s="429"/>
      <c r="AL130" s="429"/>
      <c r="AM130" s="429"/>
    </row>
    <row r="131" spans="1:39">
      <c r="A131" s="50"/>
      <c r="B131" s="52">
        <v>4320</v>
      </c>
      <c r="C131" s="53" t="s">
        <v>256</v>
      </c>
      <c r="D131" s="55" t="s">
        <v>791</v>
      </c>
      <c r="E131" s="53">
        <v>53</v>
      </c>
      <c r="F131" s="56" t="s">
        <v>792</v>
      </c>
      <c r="G131" s="57" t="s">
        <v>78</v>
      </c>
      <c r="H131" s="58">
        <v>63400</v>
      </c>
      <c r="I131" s="59"/>
      <c r="J131" s="60" t="s">
        <v>2409</v>
      </c>
      <c r="K131" s="623" t="s">
        <v>2409</v>
      </c>
      <c r="L131" s="62"/>
      <c r="M131" s="64"/>
      <c r="N131" s="65"/>
      <c r="O131" s="65"/>
      <c r="P131" s="65"/>
      <c r="Q131" s="65"/>
      <c r="R131" s="65"/>
      <c r="S131" s="65"/>
      <c r="T131" s="67">
        <v>15</v>
      </c>
      <c r="U131" s="67">
        <v>2566</v>
      </c>
      <c r="V131" s="68" t="s">
        <v>2178</v>
      </c>
      <c r="W131" s="69" t="e">
        <v>#REF!</v>
      </c>
      <c r="X131" s="70"/>
      <c r="Y131" s="70"/>
      <c r="Z131" s="70"/>
      <c r="AA131" s="429"/>
      <c r="AB131" s="429"/>
      <c r="AC131" s="429"/>
      <c r="AD131" s="429"/>
      <c r="AE131" s="429"/>
      <c r="AF131" s="429"/>
      <c r="AG131" s="429"/>
      <c r="AH131" s="429"/>
      <c r="AI131" s="429"/>
      <c r="AJ131" s="429"/>
      <c r="AK131" s="429"/>
      <c r="AL131" s="429"/>
      <c r="AM131" s="429"/>
    </row>
    <row r="132" spans="1:39">
      <c r="A132" s="50"/>
      <c r="B132" s="52">
        <v>4320</v>
      </c>
      <c r="C132" s="53" t="s">
        <v>256</v>
      </c>
      <c r="D132" s="55" t="s">
        <v>799</v>
      </c>
      <c r="E132" s="53">
        <v>55</v>
      </c>
      <c r="F132" s="56" t="s">
        <v>800</v>
      </c>
      <c r="G132" s="57" t="s">
        <v>78</v>
      </c>
      <c r="H132" s="58">
        <v>950000</v>
      </c>
      <c r="I132" s="59"/>
      <c r="J132" s="101"/>
      <c r="K132" s="623" t="s">
        <v>2409</v>
      </c>
      <c r="L132" s="62"/>
      <c r="M132" s="64"/>
      <c r="N132" s="65"/>
      <c r="O132" s="65"/>
      <c r="P132" s="65"/>
      <c r="Q132" s="65"/>
      <c r="R132" s="65"/>
      <c r="S132" s="65"/>
      <c r="T132" s="67">
        <v>15</v>
      </c>
      <c r="U132" s="67">
        <v>2568</v>
      </c>
      <c r="V132" s="68" t="s">
        <v>2178</v>
      </c>
      <c r="W132" s="69" t="e">
        <v>#REF!</v>
      </c>
      <c r="X132" s="70"/>
      <c r="Y132" s="70"/>
      <c r="Z132" s="70"/>
      <c r="AA132" s="429"/>
      <c r="AB132" s="429"/>
      <c r="AC132" s="429"/>
      <c r="AD132" s="429"/>
      <c r="AE132" s="429"/>
      <c r="AF132" s="429"/>
      <c r="AG132" s="429"/>
      <c r="AH132" s="429"/>
      <c r="AI132" s="429"/>
      <c r="AJ132" s="429"/>
      <c r="AK132" s="429"/>
      <c r="AL132" s="429"/>
      <c r="AM132" s="429"/>
    </row>
    <row r="133" spans="1:39" ht="18.75" customHeight="1">
      <c r="A133" s="50" t="s">
        <v>808</v>
      </c>
      <c r="B133" s="52">
        <v>4320</v>
      </c>
      <c r="C133" s="53" t="s">
        <v>256</v>
      </c>
      <c r="D133" s="55" t="s">
        <v>810</v>
      </c>
      <c r="E133" s="53">
        <v>62</v>
      </c>
      <c r="F133" s="106" t="s">
        <v>814</v>
      </c>
      <c r="G133" s="57" t="s">
        <v>78</v>
      </c>
      <c r="H133" s="58">
        <v>16500</v>
      </c>
      <c r="I133" s="59"/>
      <c r="J133" s="101"/>
      <c r="K133" s="61"/>
      <c r="L133" s="107"/>
      <c r="M133" s="106"/>
      <c r="N133" s="65"/>
      <c r="O133" s="65"/>
      <c r="P133" s="65"/>
      <c r="Q133" s="65"/>
      <c r="R133" s="65"/>
      <c r="S133" s="65"/>
      <c r="T133" s="108"/>
      <c r="U133" s="67"/>
      <c r="V133" s="68"/>
      <c r="W133" s="69"/>
      <c r="X133" s="70"/>
      <c r="Y133" s="70"/>
      <c r="Z133" s="70"/>
      <c r="AA133" s="429"/>
      <c r="AB133" s="429"/>
      <c r="AC133" s="429"/>
      <c r="AD133" s="429"/>
      <c r="AE133" s="429"/>
      <c r="AF133" s="429"/>
      <c r="AG133" s="429"/>
      <c r="AH133" s="429"/>
      <c r="AI133" s="429"/>
      <c r="AJ133" s="429"/>
      <c r="AK133" s="429"/>
      <c r="AL133" s="429"/>
      <c r="AM133" s="429"/>
    </row>
    <row r="134" spans="1:39" ht="18.75" customHeight="1">
      <c r="A134" s="50"/>
      <c r="B134" s="52">
        <v>4320</v>
      </c>
      <c r="C134" s="53" t="s">
        <v>256</v>
      </c>
      <c r="D134" s="55" t="s">
        <v>863</v>
      </c>
      <c r="E134" s="53">
        <v>53</v>
      </c>
      <c r="F134" s="56" t="s">
        <v>864</v>
      </c>
      <c r="G134" s="57" t="s">
        <v>78</v>
      </c>
      <c r="H134" s="58">
        <v>95000</v>
      </c>
      <c r="I134" s="59"/>
      <c r="J134" s="60" t="s">
        <v>2409</v>
      </c>
      <c r="K134" s="623" t="s">
        <v>2409</v>
      </c>
      <c r="L134" s="107"/>
      <c r="M134" s="106"/>
      <c r="N134" s="65"/>
      <c r="O134" s="65"/>
      <c r="P134" s="65"/>
      <c r="Q134" s="65"/>
      <c r="R134" s="65"/>
      <c r="S134" s="65"/>
      <c r="T134" s="108"/>
      <c r="U134" s="67"/>
      <c r="V134" s="68"/>
      <c r="W134" s="69"/>
      <c r="X134" s="70"/>
      <c r="Y134" s="70"/>
      <c r="Z134" s="70"/>
      <c r="AA134" s="429"/>
      <c r="AB134" s="429"/>
      <c r="AC134" s="429"/>
      <c r="AD134" s="429"/>
      <c r="AE134" s="429"/>
      <c r="AF134" s="429"/>
      <c r="AG134" s="429"/>
      <c r="AH134" s="429"/>
      <c r="AI134" s="429"/>
      <c r="AJ134" s="429"/>
      <c r="AK134" s="429"/>
      <c r="AL134" s="429"/>
      <c r="AM134" s="429"/>
    </row>
    <row r="135" spans="1:39">
      <c r="A135" s="50"/>
      <c r="B135" s="52">
        <v>4320</v>
      </c>
      <c r="C135" s="53" t="s">
        <v>256</v>
      </c>
      <c r="D135" s="55" t="s">
        <v>865</v>
      </c>
      <c r="E135" s="53">
        <v>53</v>
      </c>
      <c r="F135" s="56" t="s">
        <v>866</v>
      </c>
      <c r="G135" s="57" t="s">
        <v>78</v>
      </c>
      <c r="H135" s="58">
        <v>140000</v>
      </c>
      <c r="I135" s="59"/>
      <c r="J135" s="60" t="s">
        <v>2409</v>
      </c>
      <c r="K135" s="623" t="s">
        <v>2409</v>
      </c>
      <c r="L135" s="62"/>
      <c r="M135" s="64"/>
      <c r="N135" s="65"/>
      <c r="O135" s="65"/>
      <c r="P135" s="65"/>
      <c r="Q135" s="65"/>
      <c r="R135" s="65"/>
      <c r="S135" s="65"/>
      <c r="T135" s="67">
        <v>15</v>
      </c>
      <c r="U135" s="67">
        <v>2566</v>
      </c>
      <c r="V135" s="68" t="s">
        <v>2178</v>
      </c>
      <c r="W135" s="69" t="e">
        <v>#REF!</v>
      </c>
      <c r="X135" s="70"/>
      <c r="Y135" s="70"/>
      <c r="Z135" s="70"/>
      <c r="AA135" s="429"/>
      <c r="AB135" s="429"/>
      <c r="AC135" s="429"/>
      <c r="AD135" s="429"/>
      <c r="AE135" s="429"/>
      <c r="AF135" s="429"/>
      <c r="AG135" s="429"/>
      <c r="AH135" s="429"/>
      <c r="AI135" s="429"/>
      <c r="AJ135" s="429"/>
      <c r="AK135" s="429"/>
      <c r="AL135" s="429"/>
      <c r="AM135" s="429"/>
    </row>
    <row r="136" spans="1:39">
      <c r="A136" s="50"/>
      <c r="B136" s="52">
        <v>4320</v>
      </c>
      <c r="C136" s="53" t="s">
        <v>256</v>
      </c>
      <c r="D136" s="55" t="s">
        <v>869</v>
      </c>
      <c r="E136" s="53">
        <v>53</v>
      </c>
      <c r="F136" s="56" t="s">
        <v>870</v>
      </c>
      <c r="G136" s="57" t="s">
        <v>78</v>
      </c>
      <c r="H136" s="58">
        <v>120000</v>
      </c>
      <c r="I136" s="59"/>
      <c r="J136" s="60" t="s">
        <v>2409</v>
      </c>
      <c r="K136" s="623" t="s">
        <v>2409</v>
      </c>
      <c r="L136" s="62"/>
      <c r="M136" s="64"/>
      <c r="N136" s="65"/>
      <c r="O136" s="65"/>
      <c r="P136" s="65"/>
      <c r="Q136" s="65"/>
      <c r="R136" s="65"/>
      <c r="S136" s="65"/>
      <c r="T136" s="67">
        <v>15</v>
      </c>
      <c r="U136" s="67">
        <v>2566</v>
      </c>
      <c r="V136" s="68" t="s">
        <v>2178</v>
      </c>
      <c r="W136" s="69" t="e">
        <v>#REF!</v>
      </c>
      <c r="X136" s="70"/>
      <c r="Y136" s="70"/>
      <c r="Z136" s="70"/>
      <c r="AA136" s="429"/>
      <c r="AB136" s="429"/>
      <c r="AC136" s="429"/>
      <c r="AD136" s="429"/>
      <c r="AE136" s="429"/>
      <c r="AF136" s="429"/>
      <c r="AG136" s="429"/>
      <c r="AH136" s="429"/>
      <c r="AI136" s="429"/>
      <c r="AJ136" s="429"/>
      <c r="AK136" s="429"/>
      <c r="AL136" s="429"/>
      <c r="AM136" s="429"/>
    </row>
    <row r="137" spans="1:39">
      <c r="A137" s="50"/>
      <c r="B137" s="52">
        <v>4320</v>
      </c>
      <c r="C137" s="53" t="s">
        <v>256</v>
      </c>
      <c r="D137" s="55" t="s">
        <v>861</v>
      </c>
      <c r="E137" s="53">
        <v>53</v>
      </c>
      <c r="F137" s="56" t="s">
        <v>862</v>
      </c>
      <c r="G137" s="57" t="s">
        <v>78</v>
      </c>
      <c r="H137" s="58">
        <v>150000</v>
      </c>
      <c r="I137" s="59"/>
      <c r="J137" s="60" t="s">
        <v>2409</v>
      </c>
      <c r="K137" s="623" t="s">
        <v>2409</v>
      </c>
      <c r="L137" s="62"/>
      <c r="M137" s="64"/>
      <c r="N137" s="65"/>
      <c r="O137" s="65"/>
      <c r="P137" s="65"/>
      <c r="Q137" s="65"/>
      <c r="R137" s="65"/>
      <c r="S137" s="65"/>
      <c r="T137" s="67">
        <v>15</v>
      </c>
      <c r="U137" s="67">
        <v>2566</v>
      </c>
      <c r="V137" s="68" t="s">
        <v>2178</v>
      </c>
      <c r="W137" s="69" t="e">
        <v>#REF!</v>
      </c>
      <c r="X137" s="70"/>
      <c r="Y137" s="70"/>
      <c r="Z137" s="70"/>
      <c r="AA137" s="429"/>
      <c r="AB137" s="429"/>
      <c r="AC137" s="429"/>
      <c r="AD137" s="429"/>
      <c r="AE137" s="429"/>
      <c r="AF137" s="429"/>
      <c r="AG137" s="429"/>
      <c r="AH137" s="429"/>
      <c r="AI137" s="429"/>
      <c r="AJ137" s="429"/>
      <c r="AK137" s="429"/>
      <c r="AL137" s="429"/>
      <c r="AM137" s="429"/>
    </row>
    <row r="138" spans="1:39">
      <c r="A138" s="50"/>
      <c r="B138" s="52">
        <v>4320</v>
      </c>
      <c r="C138" s="53" t="s">
        <v>256</v>
      </c>
      <c r="D138" s="55" t="s">
        <v>873</v>
      </c>
      <c r="E138" s="53">
        <v>57</v>
      </c>
      <c r="F138" s="56" t="s">
        <v>874</v>
      </c>
      <c r="G138" s="57" t="s">
        <v>78</v>
      </c>
      <c r="H138" s="58">
        <v>30000</v>
      </c>
      <c r="I138" s="59"/>
      <c r="J138" s="60" t="s">
        <v>2409</v>
      </c>
      <c r="K138" s="623" t="s">
        <v>2409</v>
      </c>
      <c r="L138" s="62"/>
      <c r="M138" s="64"/>
      <c r="N138" s="65"/>
      <c r="O138" s="65"/>
      <c r="P138" s="65"/>
      <c r="Q138" s="65"/>
      <c r="R138" s="65"/>
      <c r="S138" s="65"/>
      <c r="T138" s="67">
        <v>15</v>
      </c>
      <c r="U138" s="67">
        <v>2566</v>
      </c>
      <c r="V138" s="68" t="s">
        <v>2178</v>
      </c>
      <c r="W138" s="69" t="e">
        <v>#REF!</v>
      </c>
      <c r="X138" s="70"/>
      <c r="Y138" s="70"/>
      <c r="Z138" s="70"/>
      <c r="AA138" s="429"/>
      <c r="AB138" s="429"/>
      <c r="AC138" s="429"/>
      <c r="AD138" s="429"/>
      <c r="AE138" s="429"/>
      <c r="AF138" s="429"/>
      <c r="AG138" s="429"/>
      <c r="AH138" s="429"/>
      <c r="AI138" s="429"/>
      <c r="AJ138" s="429"/>
      <c r="AK138" s="429"/>
      <c r="AL138" s="429"/>
      <c r="AM138" s="429"/>
    </row>
    <row r="139" spans="1:39">
      <c r="A139" s="50"/>
      <c r="B139" s="52">
        <v>4320</v>
      </c>
      <c r="C139" s="53" t="s">
        <v>256</v>
      </c>
      <c r="D139" s="55" t="s">
        <v>871</v>
      </c>
      <c r="E139" s="53">
        <v>54</v>
      </c>
      <c r="F139" s="56" t="s">
        <v>872</v>
      </c>
      <c r="G139" s="57" t="s">
        <v>78</v>
      </c>
      <c r="H139" s="58">
        <v>15000</v>
      </c>
      <c r="I139" s="59"/>
      <c r="J139" s="60" t="s">
        <v>2409</v>
      </c>
      <c r="K139" s="623" t="s">
        <v>2409</v>
      </c>
      <c r="L139" s="62"/>
      <c r="M139" s="64"/>
      <c r="N139" s="65"/>
      <c r="O139" s="65"/>
      <c r="P139" s="65"/>
      <c r="Q139" s="65"/>
      <c r="R139" s="65"/>
      <c r="S139" s="65"/>
      <c r="T139" s="67">
        <v>15</v>
      </c>
      <c r="U139" s="67">
        <v>2567</v>
      </c>
      <c r="V139" s="68" t="s">
        <v>2178</v>
      </c>
      <c r="W139" s="69" t="e">
        <v>#REF!</v>
      </c>
      <c r="X139" s="70"/>
      <c r="Y139" s="70"/>
      <c r="Z139" s="70"/>
      <c r="AA139" s="429"/>
      <c r="AB139" s="429"/>
      <c r="AC139" s="429"/>
      <c r="AD139" s="429"/>
      <c r="AE139" s="429"/>
      <c r="AF139" s="429"/>
      <c r="AG139" s="429"/>
      <c r="AH139" s="429"/>
      <c r="AI139" s="429"/>
      <c r="AJ139" s="429"/>
      <c r="AK139" s="429"/>
      <c r="AL139" s="429"/>
      <c r="AM139" s="429"/>
    </row>
    <row r="140" spans="1:39">
      <c r="A140" s="50"/>
      <c r="B140" s="52">
        <v>4320</v>
      </c>
      <c r="C140" s="53" t="s">
        <v>256</v>
      </c>
      <c r="D140" s="55" t="s">
        <v>875</v>
      </c>
      <c r="E140" s="53">
        <v>57</v>
      </c>
      <c r="F140" s="56" t="s">
        <v>876</v>
      </c>
      <c r="G140" s="57" t="s">
        <v>78</v>
      </c>
      <c r="H140" s="58">
        <v>1400000</v>
      </c>
      <c r="I140" s="59"/>
      <c r="J140" s="60" t="s">
        <v>2409</v>
      </c>
      <c r="K140" s="623" t="s">
        <v>2409</v>
      </c>
      <c r="L140" s="62"/>
      <c r="M140" s="64"/>
      <c r="N140" s="65"/>
      <c r="O140" s="65"/>
      <c r="P140" s="65"/>
      <c r="Q140" s="65"/>
      <c r="R140" s="65"/>
      <c r="S140" s="65"/>
      <c r="T140" s="67">
        <v>15</v>
      </c>
      <c r="U140" s="67">
        <v>2570</v>
      </c>
      <c r="V140" s="68" t="s">
        <v>2178</v>
      </c>
      <c r="W140" s="69" t="e">
        <v>#REF!</v>
      </c>
      <c r="X140" s="70"/>
      <c r="Y140" s="70"/>
      <c r="Z140" s="70"/>
      <c r="AA140" s="429"/>
      <c r="AB140" s="429"/>
      <c r="AC140" s="429"/>
      <c r="AD140" s="429"/>
      <c r="AE140" s="429"/>
      <c r="AF140" s="429"/>
      <c r="AG140" s="429"/>
      <c r="AH140" s="429"/>
      <c r="AI140" s="429"/>
      <c r="AJ140" s="429"/>
      <c r="AK140" s="429"/>
      <c r="AL140" s="429"/>
      <c r="AM140" s="429"/>
    </row>
    <row r="141" spans="1:39">
      <c r="A141" s="50"/>
      <c r="B141" s="52">
        <v>4320</v>
      </c>
      <c r="C141" s="53" t="s">
        <v>256</v>
      </c>
      <c r="D141" s="55" t="s">
        <v>877</v>
      </c>
      <c r="E141" s="53">
        <v>57</v>
      </c>
      <c r="F141" s="56" t="s">
        <v>878</v>
      </c>
      <c r="G141" s="57" t="s">
        <v>78</v>
      </c>
      <c r="H141" s="58">
        <v>1900000</v>
      </c>
      <c r="I141" s="59"/>
      <c r="J141" s="60" t="s">
        <v>2409</v>
      </c>
      <c r="K141" s="623" t="s">
        <v>2409</v>
      </c>
      <c r="L141" s="62"/>
      <c r="M141" s="64"/>
      <c r="N141" s="65"/>
      <c r="O141" s="65"/>
      <c r="P141" s="65"/>
      <c r="Q141" s="65"/>
      <c r="R141" s="65"/>
      <c r="S141" s="65"/>
      <c r="T141" s="67">
        <v>15</v>
      </c>
      <c r="U141" s="67">
        <v>2570</v>
      </c>
      <c r="V141" s="68" t="s">
        <v>2178</v>
      </c>
      <c r="W141" s="69" t="e">
        <v>#REF!</v>
      </c>
      <c r="X141" s="70"/>
      <c r="Y141" s="70"/>
      <c r="Z141" s="70"/>
      <c r="AA141" s="429"/>
      <c r="AB141" s="429"/>
      <c r="AC141" s="429"/>
      <c r="AD141" s="429"/>
      <c r="AE141" s="429"/>
      <c r="AF141" s="429"/>
      <c r="AG141" s="429"/>
      <c r="AH141" s="429"/>
      <c r="AI141" s="429"/>
      <c r="AJ141" s="429"/>
      <c r="AK141" s="429"/>
      <c r="AL141" s="429"/>
      <c r="AM141" s="429"/>
    </row>
    <row r="142" spans="1:39">
      <c r="A142" s="50"/>
      <c r="B142" s="52">
        <v>4320</v>
      </c>
      <c r="C142" s="53" t="s">
        <v>256</v>
      </c>
      <c r="D142" s="55" t="s">
        <v>880</v>
      </c>
      <c r="E142" s="53">
        <v>54</v>
      </c>
      <c r="F142" s="56" t="s">
        <v>881</v>
      </c>
      <c r="G142" s="57" t="s">
        <v>78</v>
      </c>
      <c r="H142" s="58">
        <v>91500</v>
      </c>
      <c r="I142" s="59"/>
      <c r="J142" s="60" t="s">
        <v>2409</v>
      </c>
      <c r="K142" s="623" t="s">
        <v>2409</v>
      </c>
      <c r="L142" s="62"/>
      <c r="M142" s="64"/>
      <c r="N142" s="65"/>
      <c r="O142" s="65"/>
      <c r="P142" s="65"/>
      <c r="Q142" s="65"/>
      <c r="R142" s="65"/>
      <c r="S142" s="65"/>
      <c r="T142" s="67">
        <v>15</v>
      </c>
      <c r="U142" s="67">
        <v>2567</v>
      </c>
      <c r="V142" s="68" t="s">
        <v>2178</v>
      </c>
      <c r="W142" s="69" t="e">
        <v>#REF!</v>
      </c>
      <c r="X142" s="70"/>
      <c r="Y142" s="70"/>
      <c r="Z142" s="70"/>
      <c r="AA142" s="429"/>
      <c r="AB142" s="429"/>
      <c r="AC142" s="429"/>
      <c r="AD142" s="429"/>
      <c r="AE142" s="429"/>
      <c r="AF142" s="429"/>
      <c r="AG142" s="429"/>
      <c r="AH142" s="429"/>
      <c r="AI142" s="429"/>
      <c r="AJ142" s="429"/>
      <c r="AK142" s="429"/>
      <c r="AL142" s="429"/>
      <c r="AM142" s="429"/>
    </row>
    <row r="143" spans="1:39" ht="18.75" customHeight="1">
      <c r="A143" s="50"/>
      <c r="B143" s="52">
        <v>4320</v>
      </c>
      <c r="C143" s="53" t="s">
        <v>256</v>
      </c>
      <c r="D143" s="55" t="s">
        <v>882</v>
      </c>
      <c r="E143" s="53">
        <v>57</v>
      </c>
      <c r="F143" s="56" t="s">
        <v>883</v>
      </c>
      <c r="G143" s="57" t="s">
        <v>78</v>
      </c>
      <c r="H143" s="58">
        <v>400000</v>
      </c>
      <c r="I143" s="59"/>
      <c r="J143" s="60" t="s">
        <v>2409</v>
      </c>
      <c r="K143" s="623" t="s">
        <v>2409</v>
      </c>
      <c r="L143" s="62"/>
      <c r="M143" s="64"/>
      <c r="N143" s="65"/>
      <c r="O143" s="65"/>
      <c r="P143" s="65"/>
      <c r="Q143" s="65"/>
      <c r="R143" s="65"/>
      <c r="S143" s="65"/>
      <c r="T143" s="67">
        <v>15</v>
      </c>
      <c r="U143" s="67">
        <v>2570</v>
      </c>
      <c r="V143" s="68" t="s">
        <v>2178</v>
      </c>
      <c r="W143" s="69" t="e">
        <v>#REF!</v>
      </c>
      <c r="X143" s="70"/>
      <c r="Y143" s="70"/>
      <c r="Z143" s="70"/>
      <c r="AA143" s="429"/>
      <c r="AB143" s="429"/>
      <c r="AC143" s="429"/>
      <c r="AD143" s="429"/>
      <c r="AE143" s="429"/>
      <c r="AF143" s="429"/>
      <c r="AG143" s="429"/>
      <c r="AH143" s="429"/>
      <c r="AI143" s="429"/>
      <c r="AJ143" s="429"/>
      <c r="AK143" s="429"/>
      <c r="AL143" s="429"/>
      <c r="AM143" s="429"/>
    </row>
    <row r="144" spans="1:39">
      <c r="A144" s="50"/>
      <c r="B144" s="52">
        <v>4320</v>
      </c>
      <c r="C144" s="53" t="s">
        <v>256</v>
      </c>
      <c r="D144" s="55" t="s">
        <v>884</v>
      </c>
      <c r="E144" s="53">
        <v>59</v>
      </c>
      <c r="F144" s="56" t="s">
        <v>4114</v>
      </c>
      <c r="G144" s="57" t="s">
        <v>78</v>
      </c>
      <c r="H144" s="58">
        <v>40000</v>
      </c>
      <c r="I144" s="59"/>
      <c r="J144" s="60" t="s">
        <v>2409</v>
      </c>
      <c r="K144" s="61"/>
      <c r="L144" s="62"/>
      <c r="M144" s="64"/>
      <c r="N144" s="65"/>
      <c r="O144" s="65"/>
      <c r="P144" s="65"/>
      <c r="Q144" s="65"/>
      <c r="R144" s="65"/>
      <c r="S144" s="65"/>
      <c r="T144" s="67"/>
      <c r="U144" s="67">
        <v>2557</v>
      </c>
      <c r="V144" s="68" t="s">
        <v>2178</v>
      </c>
      <c r="W144" s="69" t="e">
        <v>#REF!</v>
      </c>
      <c r="X144" s="70"/>
      <c r="Y144" s="70"/>
      <c r="Z144" s="70"/>
      <c r="AA144" s="429"/>
      <c r="AB144" s="429"/>
      <c r="AC144" s="429"/>
      <c r="AD144" s="429"/>
      <c r="AE144" s="429"/>
      <c r="AF144" s="429"/>
      <c r="AG144" s="429"/>
      <c r="AH144" s="429"/>
      <c r="AI144" s="429"/>
      <c r="AJ144" s="429"/>
      <c r="AK144" s="429"/>
      <c r="AL144" s="429"/>
      <c r="AM144" s="429"/>
    </row>
    <row r="145" spans="1:39">
      <c r="A145" s="50"/>
      <c r="B145" s="52">
        <v>4320</v>
      </c>
      <c r="C145" s="53" t="s">
        <v>256</v>
      </c>
      <c r="D145" s="55" t="s">
        <v>890</v>
      </c>
      <c r="E145" s="53">
        <v>57</v>
      </c>
      <c r="F145" s="56" t="s">
        <v>891</v>
      </c>
      <c r="G145" s="57" t="s">
        <v>78</v>
      </c>
      <c r="H145" s="58">
        <v>130000</v>
      </c>
      <c r="I145" s="59"/>
      <c r="J145" s="60" t="s">
        <v>2409</v>
      </c>
      <c r="K145" s="623" t="s">
        <v>2409</v>
      </c>
      <c r="L145" s="62"/>
      <c r="M145" s="64"/>
      <c r="N145" s="65"/>
      <c r="O145" s="65"/>
      <c r="P145" s="65"/>
      <c r="Q145" s="65"/>
      <c r="R145" s="65"/>
      <c r="S145" s="65"/>
      <c r="T145" s="67"/>
      <c r="U145" s="67"/>
      <c r="V145" s="68"/>
      <c r="W145" s="69"/>
      <c r="X145" s="70"/>
      <c r="Y145" s="70"/>
      <c r="Z145" s="70"/>
      <c r="AA145" s="429"/>
      <c r="AB145" s="429"/>
      <c r="AC145" s="429"/>
      <c r="AD145" s="429"/>
      <c r="AE145" s="429"/>
      <c r="AF145" s="429"/>
      <c r="AG145" s="429"/>
      <c r="AH145" s="429"/>
      <c r="AI145" s="429"/>
      <c r="AJ145" s="429"/>
      <c r="AK145" s="429"/>
      <c r="AL145" s="429"/>
      <c r="AM145" s="429"/>
    </row>
    <row r="146" spans="1:39">
      <c r="A146" s="50"/>
      <c r="B146" s="52">
        <v>4320</v>
      </c>
      <c r="C146" s="53" t="s">
        <v>256</v>
      </c>
      <c r="D146" s="55" t="s">
        <v>887</v>
      </c>
      <c r="E146" s="53">
        <v>57</v>
      </c>
      <c r="F146" s="56" t="s">
        <v>888</v>
      </c>
      <c r="G146" s="57" t="s">
        <v>78</v>
      </c>
      <c r="H146" s="58">
        <v>450000</v>
      </c>
      <c r="I146" s="59"/>
      <c r="J146" s="60" t="s">
        <v>2409</v>
      </c>
      <c r="K146" s="623" t="s">
        <v>2409</v>
      </c>
      <c r="L146" s="62"/>
      <c r="M146" s="64"/>
      <c r="N146" s="65"/>
      <c r="O146" s="65"/>
      <c r="P146" s="65"/>
      <c r="Q146" s="65"/>
      <c r="R146" s="65"/>
      <c r="S146" s="65"/>
      <c r="T146" s="67">
        <v>15</v>
      </c>
      <c r="U146" s="67">
        <v>2570</v>
      </c>
      <c r="V146" s="68" t="s">
        <v>2178</v>
      </c>
      <c r="W146" s="69" t="e">
        <v>#REF!</v>
      </c>
      <c r="X146" s="70"/>
      <c r="Y146" s="70"/>
      <c r="Z146" s="70"/>
      <c r="AA146" s="429"/>
      <c r="AB146" s="429"/>
      <c r="AC146" s="429"/>
      <c r="AD146" s="429"/>
      <c r="AE146" s="429"/>
      <c r="AF146" s="429"/>
      <c r="AG146" s="429"/>
      <c r="AH146" s="429"/>
      <c r="AI146" s="429"/>
      <c r="AJ146" s="429"/>
      <c r="AK146" s="429"/>
      <c r="AL146" s="429"/>
      <c r="AM146" s="429"/>
    </row>
    <row r="147" spans="1:39">
      <c r="A147" s="50"/>
      <c r="B147" s="52">
        <v>4320</v>
      </c>
      <c r="C147" s="53" t="s">
        <v>256</v>
      </c>
      <c r="D147" s="55" t="s">
        <v>900</v>
      </c>
      <c r="E147" s="53">
        <v>57</v>
      </c>
      <c r="F147" s="56" t="s">
        <v>901</v>
      </c>
      <c r="G147" s="57" t="s">
        <v>78</v>
      </c>
      <c r="H147" s="366">
        <v>15000</v>
      </c>
      <c r="I147" s="59"/>
      <c r="J147" s="60" t="s">
        <v>2409</v>
      </c>
      <c r="K147" s="623" t="s">
        <v>2409</v>
      </c>
      <c r="L147" s="62"/>
      <c r="M147" s="64"/>
      <c r="N147" s="65"/>
      <c r="O147" s="65"/>
      <c r="P147" s="65"/>
      <c r="Q147" s="65"/>
      <c r="R147" s="65"/>
      <c r="S147" s="65"/>
      <c r="T147" s="67">
        <v>15</v>
      </c>
      <c r="U147" s="67">
        <v>2570</v>
      </c>
      <c r="V147" s="68" t="s">
        <v>2178</v>
      </c>
      <c r="W147" s="69" t="e">
        <v>#REF!</v>
      </c>
      <c r="X147" s="70"/>
      <c r="Y147" s="70"/>
      <c r="Z147" s="70"/>
      <c r="AA147" s="429"/>
      <c r="AB147" s="429"/>
      <c r="AC147" s="429"/>
      <c r="AD147" s="429"/>
      <c r="AE147" s="429"/>
      <c r="AF147" s="429"/>
      <c r="AG147" s="429"/>
      <c r="AH147" s="429"/>
      <c r="AI147" s="429"/>
      <c r="AJ147" s="429"/>
      <c r="AK147" s="429"/>
      <c r="AL147" s="429"/>
      <c r="AM147" s="429"/>
    </row>
    <row r="148" spans="1:39">
      <c r="A148" s="50"/>
      <c r="B148" s="52">
        <v>4320</v>
      </c>
      <c r="C148" s="53" t="s">
        <v>256</v>
      </c>
      <c r="D148" s="55" t="s">
        <v>915</v>
      </c>
      <c r="E148" s="53">
        <v>54</v>
      </c>
      <c r="F148" s="56" t="s">
        <v>916</v>
      </c>
      <c r="G148" s="57" t="s">
        <v>78</v>
      </c>
      <c r="H148" s="366">
        <v>45000</v>
      </c>
      <c r="I148" s="59"/>
      <c r="J148" s="60" t="s">
        <v>2409</v>
      </c>
      <c r="K148" s="623" t="s">
        <v>2409</v>
      </c>
      <c r="L148" s="62"/>
      <c r="M148" s="64"/>
      <c r="N148" s="65"/>
      <c r="O148" s="65"/>
      <c r="P148" s="65"/>
      <c r="Q148" s="65"/>
      <c r="R148" s="65"/>
      <c r="S148" s="65"/>
      <c r="T148" s="67"/>
      <c r="U148" s="67"/>
      <c r="V148" s="68"/>
      <c r="W148" s="69"/>
      <c r="X148" s="70"/>
      <c r="Y148" s="70"/>
      <c r="Z148" s="70"/>
      <c r="AA148" s="429"/>
      <c r="AB148" s="429"/>
      <c r="AC148" s="429"/>
      <c r="AD148" s="429"/>
      <c r="AE148" s="429"/>
      <c r="AF148" s="429"/>
      <c r="AG148" s="429"/>
      <c r="AH148" s="429"/>
      <c r="AI148" s="429"/>
      <c r="AJ148" s="429"/>
      <c r="AK148" s="429"/>
      <c r="AL148" s="429"/>
      <c r="AM148" s="429"/>
    </row>
    <row r="149" spans="1:39">
      <c r="A149" s="50"/>
      <c r="B149" s="52">
        <v>4320</v>
      </c>
      <c r="C149" s="53" t="s">
        <v>256</v>
      </c>
      <c r="D149" s="55" t="s">
        <v>923</v>
      </c>
      <c r="E149" s="53">
        <v>56</v>
      </c>
      <c r="F149" s="56" t="s">
        <v>924</v>
      </c>
      <c r="G149" s="57" t="s">
        <v>78</v>
      </c>
      <c r="H149" s="58">
        <v>80000</v>
      </c>
      <c r="I149" s="59"/>
      <c r="J149" s="60" t="s">
        <v>2409</v>
      </c>
      <c r="K149" s="623" t="s">
        <v>2409</v>
      </c>
      <c r="L149" s="62"/>
      <c r="M149" s="64"/>
      <c r="N149" s="65"/>
      <c r="O149" s="65"/>
      <c r="P149" s="65"/>
      <c r="Q149" s="65"/>
      <c r="R149" s="65"/>
      <c r="S149" s="65"/>
      <c r="T149" s="67"/>
      <c r="U149" s="67"/>
      <c r="V149" s="68"/>
      <c r="W149" s="69"/>
      <c r="X149" s="70"/>
      <c r="Y149" s="70"/>
      <c r="Z149" s="70"/>
      <c r="AA149" s="429"/>
      <c r="AB149" s="429"/>
      <c r="AC149" s="429"/>
      <c r="AD149" s="429"/>
      <c r="AE149" s="429"/>
      <c r="AF149" s="429"/>
      <c r="AG149" s="429"/>
      <c r="AH149" s="429"/>
      <c r="AI149" s="429"/>
      <c r="AJ149" s="429"/>
      <c r="AK149" s="429"/>
      <c r="AL149" s="429"/>
      <c r="AM149" s="429"/>
    </row>
    <row r="150" spans="1:39">
      <c r="A150" s="50"/>
      <c r="B150" s="52">
        <v>4320</v>
      </c>
      <c r="C150" s="53" t="s">
        <v>256</v>
      </c>
      <c r="D150" s="55" t="s">
        <v>892</v>
      </c>
      <c r="E150" s="53">
        <v>56</v>
      </c>
      <c r="F150" s="56" t="s">
        <v>893</v>
      </c>
      <c r="G150" s="57" t="s">
        <v>78</v>
      </c>
      <c r="H150" s="366">
        <v>90000</v>
      </c>
      <c r="I150" s="59"/>
      <c r="J150" s="60" t="s">
        <v>2409</v>
      </c>
      <c r="K150" s="623" t="s">
        <v>2409</v>
      </c>
      <c r="L150" s="62"/>
      <c r="M150" s="64"/>
      <c r="N150" s="65"/>
      <c r="O150" s="65"/>
      <c r="P150" s="65"/>
      <c r="Q150" s="65"/>
      <c r="R150" s="65"/>
      <c r="S150" s="65"/>
      <c r="T150" s="67">
        <v>15</v>
      </c>
      <c r="U150" s="67">
        <v>2569</v>
      </c>
      <c r="V150" s="68" t="s">
        <v>2178</v>
      </c>
      <c r="W150" s="69" t="e">
        <v>#REF!</v>
      </c>
      <c r="X150" s="70"/>
      <c r="Y150" s="70"/>
      <c r="Z150" s="70"/>
      <c r="AA150" s="429"/>
      <c r="AB150" s="429"/>
      <c r="AC150" s="429"/>
      <c r="AD150" s="429"/>
      <c r="AE150" s="429"/>
      <c r="AF150" s="429"/>
      <c r="AG150" s="429"/>
      <c r="AH150" s="429"/>
      <c r="AI150" s="429"/>
      <c r="AJ150" s="429"/>
      <c r="AK150" s="429"/>
      <c r="AL150" s="429"/>
      <c r="AM150" s="429"/>
    </row>
    <row r="151" spans="1:39">
      <c r="A151" s="50"/>
      <c r="B151" s="52">
        <v>4320</v>
      </c>
      <c r="C151" s="53" t="s">
        <v>256</v>
      </c>
      <c r="D151" s="55" t="s">
        <v>896</v>
      </c>
      <c r="E151" s="53">
        <v>53</v>
      </c>
      <c r="F151" s="56" t="s">
        <v>897</v>
      </c>
      <c r="G151" s="57" t="s">
        <v>78</v>
      </c>
      <c r="H151" s="366">
        <v>110000</v>
      </c>
      <c r="I151" s="59"/>
      <c r="J151" s="60" t="s">
        <v>2409</v>
      </c>
      <c r="K151" s="623" t="s">
        <v>2409</v>
      </c>
      <c r="L151" s="62"/>
      <c r="M151" s="64"/>
      <c r="N151" s="65"/>
      <c r="O151" s="65"/>
      <c r="P151" s="65"/>
      <c r="Q151" s="65"/>
      <c r="R151" s="65"/>
      <c r="S151" s="65"/>
      <c r="T151" s="67">
        <v>15</v>
      </c>
      <c r="U151" s="67">
        <v>2570</v>
      </c>
      <c r="V151" s="68" t="s">
        <v>2178</v>
      </c>
      <c r="W151" s="69" t="e">
        <v>#REF!</v>
      </c>
      <c r="X151" s="70"/>
      <c r="Y151" s="70"/>
      <c r="Z151" s="70"/>
      <c r="AA151" s="429"/>
      <c r="AB151" s="429"/>
      <c r="AC151" s="429"/>
      <c r="AD151" s="429"/>
      <c r="AE151" s="429"/>
      <c r="AF151" s="429"/>
      <c r="AG151" s="429"/>
      <c r="AH151" s="429"/>
      <c r="AI151" s="429"/>
      <c r="AJ151" s="429"/>
      <c r="AK151" s="429"/>
      <c r="AL151" s="429"/>
      <c r="AM151" s="429"/>
    </row>
    <row r="152" spans="1:39">
      <c r="A152" s="50"/>
      <c r="B152" s="52">
        <v>4320</v>
      </c>
      <c r="C152" s="53" t="s">
        <v>256</v>
      </c>
      <c r="D152" s="55" t="s">
        <v>898</v>
      </c>
      <c r="E152" s="53">
        <v>56</v>
      </c>
      <c r="F152" s="56" t="s">
        <v>899</v>
      </c>
      <c r="G152" s="57" t="s">
        <v>78</v>
      </c>
      <c r="H152" s="366">
        <v>175000</v>
      </c>
      <c r="I152" s="59"/>
      <c r="J152" s="60" t="s">
        <v>2409</v>
      </c>
      <c r="K152" s="623" t="s">
        <v>2409</v>
      </c>
      <c r="L152" s="62"/>
      <c r="M152" s="64"/>
      <c r="N152" s="65"/>
      <c r="O152" s="65"/>
      <c r="P152" s="65"/>
      <c r="Q152" s="65"/>
      <c r="R152" s="65"/>
      <c r="S152" s="65"/>
      <c r="T152" s="67">
        <v>15</v>
      </c>
      <c r="U152" s="67">
        <v>2566</v>
      </c>
      <c r="V152" s="68" t="s">
        <v>2178</v>
      </c>
      <c r="W152" s="69" t="e">
        <v>#REF!</v>
      </c>
      <c r="X152" s="70"/>
      <c r="Y152" s="70"/>
      <c r="Z152" s="70"/>
      <c r="AA152" s="429"/>
      <c r="AB152" s="429"/>
      <c r="AC152" s="429"/>
      <c r="AD152" s="429"/>
      <c r="AE152" s="429"/>
      <c r="AF152" s="429"/>
      <c r="AG152" s="429"/>
      <c r="AH152" s="429"/>
      <c r="AI152" s="429"/>
      <c r="AJ152" s="429"/>
      <c r="AK152" s="429"/>
      <c r="AL152" s="429"/>
      <c r="AM152" s="429"/>
    </row>
    <row r="153" spans="1:39">
      <c r="A153" s="50"/>
      <c r="B153" s="52">
        <v>4320</v>
      </c>
      <c r="C153" s="53" t="s">
        <v>256</v>
      </c>
      <c r="D153" s="55" t="s">
        <v>902</v>
      </c>
      <c r="E153" s="53">
        <v>57</v>
      </c>
      <c r="F153" s="56" t="s">
        <v>903</v>
      </c>
      <c r="G153" s="57" t="s">
        <v>78</v>
      </c>
      <c r="H153" s="366">
        <v>265000</v>
      </c>
      <c r="I153" s="59"/>
      <c r="J153" s="60" t="s">
        <v>2409</v>
      </c>
      <c r="K153" s="623" t="s">
        <v>2409</v>
      </c>
      <c r="L153" s="62"/>
      <c r="M153" s="64"/>
      <c r="N153" s="65"/>
      <c r="O153" s="65"/>
      <c r="P153" s="65"/>
      <c r="Q153" s="65"/>
      <c r="R153" s="65"/>
      <c r="S153" s="65"/>
      <c r="T153" s="67">
        <v>15</v>
      </c>
      <c r="U153" s="67">
        <v>2569</v>
      </c>
      <c r="V153" s="68" t="s">
        <v>2178</v>
      </c>
      <c r="W153" s="69" t="e">
        <v>#REF!</v>
      </c>
      <c r="X153" s="70"/>
      <c r="Y153" s="70"/>
      <c r="Z153" s="70"/>
      <c r="AA153" s="429"/>
      <c r="AB153" s="429"/>
      <c r="AC153" s="429"/>
      <c r="AD153" s="429"/>
      <c r="AE153" s="429"/>
      <c r="AF153" s="429"/>
      <c r="AG153" s="429"/>
      <c r="AH153" s="429"/>
      <c r="AI153" s="429"/>
      <c r="AJ153" s="429"/>
      <c r="AK153" s="429"/>
      <c r="AL153" s="429"/>
      <c r="AM153" s="429"/>
    </row>
    <row r="154" spans="1:39">
      <c r="A154" s="50"/>
      <c r="B154" s="52">
        <v>4320</v>
      </c>
      <c r="C154" s="53" t="s">
        <v>256</v>
      </c>
      <c r="D154" s="55" t="s">
        <v>904</v>
      </c>
      <c r="E154" s="53">
        <v>57</v>
      </c>
      <c r="F154" s="56" t="s">
        <v>905</v>
      </c>
      <c r="G154" s="57" t="s">
        <v>78</v>
      </c>
      <c r="H154" s="58">
        <v>11000</v>
      </c>
      <c r="I154" s="59"/>
      <c r="J154" s="60" t="s">
        <v>2409</v>
      </c>
      <c r="K154" s="623" t="s">
        <v>2409</v>
      </c>
      <c r="L154" s="62"/>
      <c r="M154" s="64"/>
      <c r="N154" s="65"/>
      <c r="O154" s="65"/>
      <c r="P154" s="65"/>
      <c r="Q154" s="65"/>
      <c r="R154" s="65"/>
      <c r="S154" s="65"/>
      <c r="T154" s="67">
        <v>15</v>
      </c>
      <c r="U154" s="67">
        <v>2570</v>
      </c>
      <c r="V154" s="68" t="s">
        <v>2178</v>
      </c>
      <c r="W154" s="69" t="e">
        <v>#REF!</v>
      </c>
      <c r="X154" s="70"/>
      <c r="Y154" s="70"/>
      <c r="Z154" s="70"/>
      <c r="AA154" s="429"/>
      <c r="AB154" s="429"/>
      <c r="AC154" s="429"/>
      <c r="AD154" s="429"/>
      <c r="AE154" s="429"/>
      <c r="AF154" s="429"/>
      <c r="AG154" s="429"/>
      <c r="AH154" s="429"/>
      <c r="AI154" s="429"/>
      <c r="AJ154" s="429"/>
      <c r="AK154" s="429"/>
      <c r="AL154" s="429"/>
      <c r="AM154" s="429"/>
    </row>
    <row r="155" spans="1:39">
      <c r="A155" s="50"/>
      <c r="B155" s="52">
        <v>4320</v>
      </c>
      <c r="C155" s="53" t="s">
        <v>256</v>
      </c>
      <c r="D155" s="55" t="s">
        <v>894</v>
      </c>
      <c r="E155" s="53">
        <v>57</v>
      </c>
      <c r="F155" s="56" t="s">
        <v>895</v>
      </c>
      <c r="G155" s="57" t="s">
        <v>78</v>
      </c>
      <c r="H155" s="58">
        <v>18200</v>
      </c>
      <c r="I155" s="59"/>
      <c r="J155" s="60" t="s">
        <v>2409</v>
      </c>
      <c r="K155" s="623" t="s">
        <v>2409</v>
      </c>
      <c r="L155" s="62"/>
      <c r="M155" s="64"/>
      <c r="N155" s="65"/>
      <c r="O155" s="65"/>
      <c r="P155" s="65"/>
      <c r="Q155" s="65"/>
      <c r="R155" s="65"/>
      <c r="S155" s="65"/>
      <c r="T155" s="67">
        <v>15</v>
      </c>
      <c r="U155" s="67">
        <v>2570</v>
      </c>
      <c r="V155" s="68" t="s">
        <v>2178</v>
      </c>
      <c r="W155" s="69" t="e">
        <v>#REF!</v>
      </c>
      <c r="X155" s="70"/>
      <c r="Y155" s="70"/>
      <c r="Z155" s="70"/>
      <c r="AA155" s="429"/>
      <c r="AB155" s="429"/>
      <c r="AC155" s="429"/>
      <c r="AD155" s="429"/>
      <c r="AE155" s="429"/>
      <c r="AF155" s="429"/>
      <c r="AG155" s="429"/>
      <c r="AH155" s="429"/>
      <c r="AI155" s="429"/>
      <c r="AJ155" s="429"/>
      <c r="AK155" s="429"/>
      <c r="AL155" s="429"/>
      <c r="AM155" s="429"/>
    </row>
    <row r="156" spans="1:39">
      <c r="A156" s="50"/>
      <c r="B156" s="52">
        <v>4320</v>
      </c>
      <c r="C156" s="53" t="s">
        <v>256</v>
      </c>
      <c r="D156" s="55" t="s">
        <v>907</v>
      </c>
      <c r="E156" s="53">
        <v>54</v>
      </c>
      <c r="F156" s="56" t="s">
        <v>908</v>
      </c>
      <c r="G156" s="57" t="s">
        <v>78</v>
      </c>
      <c r="H156" s="58">
        <v>60000</v>
      </c>
      <c r="I156" s="59"/>
      <c r="J156" s="60" t="s">
        <v>2409</v>
      </c>
      <c r="K156" s="623" t="s">
        <v>2409</v>
      </c>
      <c r="L156" s="62"/>
      <c r="M156" s="64"/>
      <c r="N156" s="65"/>
      <c r="O156" s="65"/>
      <c r="P156" s="65"/>
      <c r="Q156" s="65"/>
      <c r="R156" s="65"/>
      <c r="S156" s="65"/>
      <c r="T156" s="67">
        <v>15</v>
      </c>
      <c r="U156" s="67">
        <v>2567</v>
      </c>
      <c r="V156" s="68" t="s">
        <v>2178</v>
      </c>
      <c r="W156" s="69" t="e">
        <v>#REF!</v>
      </c>
      <c r="X156" s="70"/>
      <c r="Y156" s="70"/>
      <c r="Z156" s="70"/>
      <c r="AA156" s="429"/>
      <c r="AB156" s="429"/>
      <c r="AC156" s="429"/>
      <c r="AD156" s="429"/>
      <c r="AE156" s="429"/>
      <c r="AF156" s="429"/>
      <c r="AG156" s="429"/>
      <c r="AH156" s="429"/>
      <c r="AI156" s="429"/>
      <c r="AJ156" s="429"/>
      <c r="AK156" s="429"/>
      <c r="AL156" s="429"/>
      <c r="AM156" s="429"/>
    </row>
    <row r="157" spans="1:39">
      <c r="A157" s="50"/>
      <c r="B157" s="52">
        <v>4320</v>
      </c>
      <c r="C157" s="53" t="s">
        <v>256</v>
      </c>
      <c r="D157" s="55" t="s">
        <v>909</v>
      </c>
      <c r="E157" s="53">
        <v>54</v>
      </c>
      <c r="F157" s="56" t="s">
        <v>910</v>
      </c>
      <c r="G157" s="57" t="s">
        <v>78</v>
      </c>
      <c r="H157" s="58">
        <v>8500</v>
      </c>
      <c r="I157" s="59"/>
      <c r="J157" s="60" t="s">
        <v>2409</v>
      </c>
      <c r="K157" s="623" t="s">
        <v>2409</v>
      </c>
      <c r="L157" s="62"/>
      <c r="M157" s="64"/>
      <c r="N157" s="65"/>
      <c r="O157" s="65"/>
      <c r="P157" s="65"/>
      <c r="Q157" s="65"/>
      <c r="R157" s="65"/>
      <c r="S157" s="65"/>
      <c r="T157" s="67">
        <v>15</v>
      </c>
      <c r="U157" s="67">
        <v>2567</v>
      </c>
      <c r="V157" s="68" t="s">
        <v>2178</v>
      </c>
      <c r="W157" s="69" t="e">
        <v>#REF!</v>
      </c>
      <c r="X157" s="70"/>
      <c r="Y157" s="70"/>
      <c r="Z157" s="70"/>
      <c r="AA157" s="429"/>
      <c r="AB157" s="429"/>
      <c r="AC157" s="429"/>
      <c r="AD157" s="429"/>
      <c r="AE157" s="429"/>
      <c r="AF157" s="429"/>
      <c r="AG157" s="429"/>
      <c r="AH157" s="429"/>
      <c r="AI157" s="429"/>
      <c r="AJ157" s="429"/>
      <c r="AK157" s="429"/>
      <c r="AL157" s="429"/>
      <c r="AM157" s="429"/>
    </row>
    <row r="158" spans="1:39">
      <c r="A158" s="50"/>
      <c r="B158" s="52">
        <v>4320</v>
      </c>
      <c r="C158" s="53" t="s">
        <v>256</v>
      </c>
      <c r="D158" s="55" t="s">
        <v>911</v>
      </c>
      <c r="E158" s="53">
        <v>54</v>
      </c>
      <c r="F158" s="56" t="s">
        <v>912</v>
      </c>
      <c r="G158" s="57" t="s">
        <v>78</v>
      </c>
      <c r="H158" s="58">
        <v>14000</v>
      </c>
      <c r="I158" s="59"/>
      <c r="J158" s="60" t="s">
        <v>2409</v>
      </c>
      <c r="K158" s="623" t="s">
        <v>2409</v>
      </c>
      <c r="L158" s="62"/>
      <c r="M158" s="64"/>
      <c r="N158" s="65"/>
      <c r="O158" s="65"/>
      <c r="P158" s="65"/>
      <c r="Q158" s="65"/>
      <c r="R158" s="65"/>
      <c r="S158" s="65"/>
      <c r="T158" s="67">
        <v>15</v>
      </c>
      <c r="U158" s="67">
        <v>2567</v>
      </c>
      <c r="V158" s="68" t="s">
        <v>2178</v>
      </c>
      <c r="W158" s="69" t="e">
        <v>#REF!</v>
      </c>
      <c r="X158" s="70"/>
      <c r="Y158" s="70"/>
      <c r="Z158" s="70"/>
      <c r="AA158" s="429"/>
      <c r="AB158" s="429"/>
      <c r="AC158" s="429"/>
      <c r="AD158" s="429"/>
      <c r="AE158" s="429"/>
      <c r="AF158" s="429"/>
      <c r="AG158" s="429"/>
      <c r="AH158" s="429"/>
      <c r="AI158" s="429"/>
      <c r="AJ158" s="429"/>
      <c r="AK158" s="429"/>
      <c r="AL158" s="429"/>
      <c r="AM158" s="429"/>
    </row>
    <row r="159" spans="1:39">
      <c r="A159" s="50"/>
      <c r="B159" s="52">
        <v>4320</v>
      </c>
      <c r="C159" s="53" t="s">
        <v>256</v>
      </c>
      <c r="D159" s="55" t="s">
        <v>913</v>
      </c>
      <c r="E159" s="53">
        <v>54</v>
      </c>
      <c r="F159" s="56" t="s">
        <v>914</v>
      </c>
      <c r="G159" s="57" t="s">
        <v>78</v>
      </c>
      <c r="H159" s="58">
        <v>21000</v>
      </c>
      <c r="I159" s="59"/>
      <c r="J159" s="60" t="s">
        <v>2409</v>
      </c>
      <c r="K159" s="623" t="s">
        <v>2409</v>
      </c>
      <c r="L159" s="62"/>
      <c r="M159" s="64"/>
      <c r="N159" s="65"/>
      <c r="O159" s="65"/>
      <c r="P159" s="65"/>
      <c r="Q159" s="65"/>
      <c r="R159" s="65"/>
      <c r="S159" s="65"/>
      <c r="T159" s="67">
        <v>15</v>
      </c>
      <c r="U159" s="67">
        <v>2567</v>
      </c>
      <c r="V159" s="68" t="s">
        <v>2178</v>
      </c>
      <c r="W159" s="69" t="e">
        <v>#REF!</v>
      </c>
      <c r="X159" s="70"/>
      <c r="Y159" s="70"/>
      <c r="Z159" s="70"/>
      <c r="AA159" s="429"/>
      <c r="AB159" s="429"/>
      <c r="AC159" s="429"/>
      <c r="AD159" s="429"/>
      <c r="AE159" s="429"/>
      <c r="AF159" s="429"/>
      <c r="AG159" s="429"/>
      <c r="AH159" s="429"/>
      <c r="AI159" s="429"/>
      <c r="AJ159" s="429"/>
      <c r="AK159" s="429"/>
      <c r="AL159" s="429"/>
      <c r="AM159" s="429"/>
    </row>
    <row r="160" spans="1:39">
      <c r="A160" s="50"/>
      <c r="B160" s="52">
        <v>4320</v>
      </c>
      <c r="C160" s="53" t="s">
        <v>256</v>
      </c>
      <c r="D160" s="55" t="s">
        <v>921</v>
      </c>
      <c r="E160" s="53">
        <v>56</v>
      </c>
      <c r="F160" s="56" t="s">
        <v>922</v>
      </c>
      <c r="G160" s="57" t="s">
        <v>78</v>
      </c>
      <c r="H160" s="58">
        <v>75000</v>
      </c>
      <c r="I160" s="59"/>
      <c r="J160" s="60" t="s">
        <v>2409</v>
      </c>
      <c r="K160" s="623" t="s">
        <v>2409</v>
      </c>
      <c r="L160" s="62"/>
      <c r="M160" s="64"/>
      <c r="N160" s="65"/>
      <c r="O160" s="65"/>
      <c r="P160" s="65"/>
      <c r="Q160" s="65"/>
      <c r="R160" s="65"/>
      <c r="S160" s="65"/>
      <c r="T160" s="67">
        <v>15</v>
      </c>
      <c r="U160" s="67">
        <v>2567</v>
      </c>
      <c r="V160" s="68" t="s">
        <v>2178</v>
      </c>
      <c r="W160" s="69" t="e">
        <v>#REF!</v>
      </c>
      <c r="X160" s="70"/>
      <c r="Y160" s="70"/>
      <c r="Z160" s="70"/>
      <c r="AA160" s="429"/>
      <c r="AB160" s="429"/>
      <c r="AC160" s="429"/>
      <c r="AD160" s="429"/>
      <c r="AE160" s="429"/>
      <c r="AF160" s="429"/>
      <c r="AG160" s="429"/>
      <c r="AH160" s="429"/>
      <c r="AI160" s="429"/>
      <c r="AJ160" s="429"/>
      <c r="AK160" s="429"/>
      <c r="AL160" s="429"/>
      <c r="AM160" s="429"/>
    </row>
    <row r="161" spans="1:39">
      <c r="A161" s="50"/>
      <c r="B161" s="52">
        <v>4320</v>
      </c>
      <c r="C161" s="53" t="s">
        <v>256</v>
      </c>
      <c r="D161" s="55" t="s">
        <v>917</v>
      </c>
      <c r="E161" s="53">
        <v>56</v>
      </c>
      <c r="F161" s="56" t="s">
        <v>918</v>
      </c>
      <c r="G161" s="57" t="s">
        <v>78</v>
      </c>
      <c r="H161" s="58">
        <v>260000</v>
      </c>
      <c r="I161" s="59"/>
      <c r="J161" s="60" t="s">
        <v>2409</v>
      </c>
      <c r="K161" s="623" t="s">
        <v>2409</v>
      </c>
      <c r="L161" s="62"/>
      <c r="M161" s="64"/>
      <c r="N161" s="65"/>
      <c r="O161" s="65"/>
      <c r="P161" s="65"/>
      <c r="Q161" s="65"/>
      <c r="R161" s="65"/>
      <c r="S161" s="65"/>
      <c r="T161" s="67">
        <v>15</v>
      </c>
      <c r="U161" s="67">
        <v>2569</v>
      </c>
      <c r="V161" s="68" t="s">
        <v>2178</v>
      </c>
      <c r="W161" s="69" t="e">
        <v>#REF!</v>
      </c>
      <c r="X161" s="70"/>
      <c r="Y161" s="70"/>
      <c r="Z161" s="70"/>
      <c r="AA161" s="429"/>
      <c r="AB161" s="429"/>
      <c r="AC161" s="429"/>
      <c r="AD161" s="429"/>
      <c r="AE161" s="429"/>
      <c r="AF161" s="429"/>
      <c r="AG161" s="429"/>
      <c r="AH161" s="429"/>
      <c r="AI161" s="429"/>
      <c r="AJ161" s="429"/>
      <c r="AK161" s="429"/>
      <c r="AL161" s="429"/>
      <c r="AM161" s="429"/>
    </row>
    <row r="162" spans="1:39">
      <c r="A162" s="629"/>
      <c r="B162" s="629">
        <v>4400</v>
      </c>
      <c r="C162" s="625"/>
      <c r="D162" s="625" t="s">
        <v>4087</v>
      </c>
      <c r="E162" s="629"/>
      <c r="F162" s="37"/>
      <c r="G162" s="37"/>
      <c r="H162" s="629"/>
      <c r="I162" s="625"/>
      <c r="J162" s="626"/>
      <c r="K162" s="621"/>
      <c r="L162" s="621"/>
      <c r="M162" s="37"/>
      <c r="N162" s="37"/>
      <c r="O162" s="629"/>
      <c r="P162" s="625"/>
      <c r="Q162" s="626"/>
      <c r="R162" s="621"/>
      <c r="S162" s="621"/>
      <c r="T162" s="37"/>
      <c r="U162" s="37"/>
      <c r="V162" s="37" t="s">
        <v>2180</v>
      </c>
      <c r="W162" s="37">
        <v>9</v>
      </c>
      <c r="X162" s="626"/>
      <c r="Y162" s="621"/>
      <c r="Z162" s="621"/>
      <c r="AA162" s="430"/>
      <c r="AB162" s="430"/>
      <c r="AC162" s="430"/>
      <c r="AD162" s="430"/>
      <c r="AE162" s="430"/>
      <c r="AF162" s="430"/>
      <c r="AG162" s="430"/>
      <c r="AH162" s="430"/>
      <c r="AI162" s="430"/>
      <c r="AJ162" s="430"/>
      <c r="AK162" s="430"/>
      <c r="AL162" s="430"/>
      <c r="AM162" s="430"/>
    </row>
    <row r="163" spans="1:39">
      <c r="A163" s="50"/>
      <c r="B163" s="52">
        <v>4440</v>
      </c>
      <c r="C163" s="53" t="s">
        <v>372</v>
      </c>
      <c r="D163" s="55" t="s">
        <v>933</v>
      </c>
      <c r="E163" s="53">
        <v>55</v>
      </c>
      <c r="F163" s="56" t="s">
        <v>934</v>
      </c>
      <c r="G163" s="57" t="s">
        <v>78</v>
      </c>
      <c r="H163" s="58">
        <v>255000</v>
      </c>
      <c r="I163" s="59"/>
      <c r="J163" s="60" t="s">
        <v>2411</v>
      </c>
      <c r="K163" s="623" t="s">
        <v>2411</v>
      </c>
      <c r="L163" s="62">
        <v>4440356813263</v>
      </c>
      <c r="M163" s="64"/>
      <c r="N163" s="65"/>
      <c r="O163" s="65"/>
      <c r="P163" s="65"/>
      <c r="Q163" s="65"/>
      <c r="R163" s="65"/>
      <c r="S163" s="65"/>
      <c r="T163" s="67">
        <v>15</v>
      </c>
      <c r="U163" s="67">
        <v>2568</v>
      </c>
      <c r="V163" s="68" t="s">
        <v>2180</v>
      </c>
      <c r="W163" s="69" t="e">
        <v>#REF!</v>
      </c>
      <c r="X163" s="70" t="s">
        <v>548</v>
      </c>
      <c r="Y163" s="70"/>
      <c r="Z163" s="70"/>
      <c r="AA163" s="429"/>
      <c r="AB163" s="429"/>
      <c r="AC163" s="429"/>
      <c r="AD163" s="429"/>
      <c r="AE163" s="429"/>
      <c r="AF163" s="429"/>
      <c r="AG163" s="429"/>
      <c r="AH163" s="429"/>
      <c r="AI163" s="429"/>
      <c r="AJ163" s="429"/>
      <c r="AK163" s="429"/>
      <c r="AL163" s="429"/>
      <c r="AM163" s="429"/>
    </row>
    <row r="164" spans="1:39">
      <c r="A164" s="50"/>
      <c r="B164" s="52">
        <v>4440</v>
      </c>
      <c r="C164" s="53" t="s">
        <v>372</v>
      </c>
      <c r="D164" s="55" t="s">
        <v>927</v>
      </c>
      <c r="E164" s="53">
        <v>55</v>
      </c>
      <c r="F164" s="56" t="s">
        <v>928</v>
      </c>
      <c r="G164" s="57" t="s">
        <v>78</v>
      </c>
      <c r="H164" s="58">
        <v>455000</v>
      </c>
      <c r="I164" s="59"/>
      <c r="J164" s="60" t="s">
        <v>2411</v>
      </c>
      <c r="K164" s="623" t="s">
        <v>2411</v>
      </c>
      <c r="L164" s="62">
        <v>4440356813267</v>
      </c>
      <c r="M164" s="64"/>
      <c r="N164" s="65"/>
      <c r="O164" s="65"/>
      <c r="P164" s="65"/>
      <c r="Q164" s="65"/>
      <c r="R164" s="65"/>
      <c r="S164" s="65"/>
      <c r="T164" s="67">
        <v>15</v>
      </c>
      <c r="U164" s="67">
        <v>2568</v>
      </c>
      <c r="V164" s="68" t="s">
        <v>2180</v>
      </c>
      <c r="W164" s="69" t="e">
        <v>#REF!</v>
      </c>
      <c r="X164" s="70" t="s">
        <v>548</v>
      </c>
      <c r="Y164" s="70"/>
      <c r="Z164" s="70"/>
      <c r="AA164" s="429"/>
      <c r="AB164" s="429"/>
      <c r="AC164" s="429"/>
      <c r="AD164" s="429"/>
      <c r="AE164" s="429"/>
      <c r="AF164" s="429"/>
      <c r="AG164" s="429"/>
      <c r="AH164" s="429"/>
      <c r="AI164" s="429"/>
      <c r="AJ164" s="429"/>
      <c r="AK164" s="429"/>
      <c r="AL164" s="429"/>
      <c r="AM164" s="429"/>
    </row>
    <row r="165" spans="1:39">
      <c r="A165" s="50"/>
      <c r="B165" s="52">
        <v>4440</v>
      </c>
      <c r="C165" s="53" t="s">
        <v>372</v>
      </c>
      <c r="D165" s="55" t="s">
        <v>929</v>
      </c>
      <c r="E165" s="53">
        <v>55</v>
      </c>
      <c r="F165" s="56" t="s">
        <v>930</v>
      </c>
      <c r="G165" s="57" t="s">
        <v>78</v>
      </c>
      <c r="H165" s="58">
        <v>650000</v>
      </c>
      <c r="I165" s="59"/>
      <c r="J165" s="60" t="s">
        <v>2411</v>
      </c>
      <c r="K165" s="623" t="s">
        <v>2411</v>
      </c>
      <c r="L165" s="62">
        <v>4440356813276</v>
      </c>
      <c r="M165" s="64"/>
      <c r="N165" s="65"/>
      <c r="O165" s="65"/>
      <c r="P165" s="65"/>
      <c r="Q165" s="65"/>
      <c r="R165" s="65"/>
      <c r="S165" s="65"/>
      <c r="T165" s="67">
        <v>15</v>
      </c>
      <c r="U165" s="67">
        <v>2568</v>
      </c>
      <c r="V165" s="68" t="s">
        <v>2180</v>
      </c>
      <c r="W165" s="69" t="e">
        <v>#REF!</v>
      </c>
      <c r="X165" s="70" t="s">
        <v>548</v>
      </c>
      <c r="Y165" s="70"/>
      <c r="Z165" s="70"/>
      <c r="AA165" s="429"/>
      <c r="AB165" s="429"/>
      <c r="AC165" s="429"/>
      <c r="AD165" s="429"/>
      <c r="AE165" s="429"/>
      <c r="AF165" s="429"/>
      <c r="AG165" s="429"/>
      <c r="AH165" s="429"/>
      <c r="AI165" s="429"/>
      <c r="AJ165" s="429"/>
      <c r="AK165" s="429"/>
      <c r="AL165" s="429"/>
      <c r="AM165" s="429"/>
    </row>
    <row r="166" spans="1:39">
      <c r="A166" s="50"/>
      <c r="B166" s="52">
        <v>4440</v>
      </c>
      <c r="C166" s="53" t="s">
        <v>372</v>
      </c>
      <c r="D166" s="55" t="s">
        <v>931</v>
      </c>
      <c r="E166" s="53">
        <v>55</v>
      </c>
      <c r="F166" s="56" t="s">
        <v>932</v>
      </c>
      <c r="G166" s="57" t="s">
        <v>78</v>
      </c>
      <c r="H166" s="58">
        <v>850000</v>
      </c>
      <c r="I166" s="59"/>
      <c r="J166" s="60" t="s">
        <v>2411</v>
      </c>
      <c r="K166" s="623" t="s">
        <v>2411</v>
      </c>
      <c r="L166" s="62">
        <v>4440356813277</v>
      </c>
      <c r="M166" s="64"/>
      <c r="N166" s="65"/>
      <c r="O166" s="65"/>
      <c r="P166" s="65"/>
      <c r="Q166" s="65"/>
      <c r="R166" s="65"/>
      <c r="S166" s="65"/>
      <c r="T166" s="67">
        <v>15</v>
      </c>
      <c r="U166" s="67">
        <v>2568</v>
      </c>
      <c r="V166" s="68" t="s">
        <v>2180</v>
      </c>
      <c r="W166" s="69" t="e">
        <v>#REF!</v>
      </c>
      <c r="X166" s="70" t="s">
        <v>548</v>
      </c>
      <c r="Y166" s="70"/>
      <c r="Z166" s="70"/>
      <c r="AA166" s="429"/>
      <c r="AB166" s="429"/>
      <c r="AC166" s="429"/>
      <c r="AD166" s="429"/>
      <c r="AE166" s="429"/>
      <c r="AF166" s="429"/>
      <c r="AG166" s="429"/>
      <c r="AH166" s="429"/>
      <c r="AI166" s="429"/>
      <c r="AJ166" s="429"/>
      <c r="AK166" s="429"/>
      <c r="AL166" s="429"/>
      <c r="AM166" s="429"/>
    </row>
    <row r="167" spans="1:39">
      <c r="A167" s="50"/>
      <c r="B167" s="52">
        <v>4460</v>
      </c>
      <c r="C167" s="53" t="s">
        <v>157</v>
      </c>
      <c r="D167" s="55" t="s">
        <v>939</v>
      </c>
      <c r="E167" s="53">
        <v>52</v>
      </c>
      <c r="F167" s="56" t="s">
        <v>940</v>
      </c>
      <c r="G167" s="57" t="s">
        <v>78</v>
      </c>
      <c r="H167" s="58">
        <v>47000</v>
      </c>
      <c r="I167" s="59"/>
      <c r="J167" s="60" t="s">
        <v>2413</v>
      </c>
      <c r="K167" s="623" t="s">
        <v>2411</v>
      </c>
      <c r="L167" s="62"/>
      <c r="M167" s="64"/>
      <c r="N167" s="65"/>
      <c r="O167" s="65"/>
      <c r="P167" s="65"/>
      <c r="Q167" s="65"/>
      <c r="R167" s="65"/>
      <c r="S167" s="65"/>
      <c r="T167" s="67"/>
      <c r="U167" s="67"/>
      <c r="V167" s="68" t="s">
        <v>2180</v>
      </c>
      <c r="W167" s="69" t="e">
        <v>#REF!</v>
      </c>
      <c r="X167" s="70"/>
      <c r="Y167" s="70"/>
      <c r="Z167" s="70"/>
      <c r="AA167" s="429"/>
      <c r="AB167" s="429"/>
      <c r="AC167" s="429"/>
      <c r="AD167" s="429"/>
      <c r="AE167" s="429"/>
      <c r="AF167" s="429"/>
      <c r="AG167" s="429"/>
      <c r="AH167" s="429"/>
      <c r="AI167" s="429"/>
      <c r="AJ167" s="429"/>
      <c r="AK167" s="429"/>
      <c r="AL167" s="429"/>
      <c r="AM167" s="429"/>
    </row>
    <row r="168" spans="1:39">
      <c r="A168" s="50"/>
      <c r="B168" s="52">
        <v>4460</v>
      </c>
      <c r="C168" s="53" t="s">
        <v>372</v>
      </c>
      <c r="D168" s="55" t="s">
        <v>936</v>
      </c>
      <c r="E168" s="53">
        <v>52</v>
      </c>
      <c r="F168" s="56" t="s">
        <v>937</v>
      </c>
      <c r="G168" s="57" t="s">
        <v>78</v>
      </c>
      <c r="H168" s="58">
        <v>55000</v>
      </c>
      <c r="I168" s="59"/>
      <c r="J168" s="60" t="s">
        <v>2413</v>
      </c>
      <c r="K168" s="623" t="s">
        <v>2411</v>
      </c>
      <c r="L168" s="62" t="s">
        <v>938</v>
      </c>
      <c r="M168" s="64"/>
      <c r="N168" s="65"/>
      <c r="O168" s="65"/>
      <c r="P168" s="65"/>
      <c r="Q168" s="65"/>
      <c r="R168" s="65"/>
      <c r="S168" s="65"/>
      <c r="T168" s="67">
        <v>15</v>
      </c>
      <c r="U168" s="67">
        <v>2565</v>
      </c>
      <c r="V168" s="68" t="s">
        <v>2180</v>
      </c>
      <c r="W168" s="69" t="e">
        <v>#REF!</v>
      </c>
      <c r="X168" s="70" t="s">
        <v>548</v>
      </c>
      <c r="Y168" s="70"/>
      <c r="Z168" s="70"/>
      <c r="AA168" s="429"/>
      <c r="AB168" s="429"/>
      <c r="AC168" s="429"/>
      <c r="AD168" s="429"/>
      <c r="AE168" s="429"/>
      <c r="AF168" s="429"/>
      <c r="AG168" s="429"/>
      <c r="AH168" s="429"/>
      <c r="AI168" s="429"/>
      <c r="AJ168" s="429"/>
      <c r="AK168" s="429"/>
      <c r="AL168" s="429"/>
      <c r="AM168" s="429"/>
    </row>
    <row r="169" spans="1:39">
      <c r="A169" s="50"/>
      <c r="B169" s="52">
        <v>4460</v>
      </c>
      <c r="C169" s="53" t="s">
        <v>683</v>
      </c>
      <c r="D169" s="55" t="s">
        <v>935</v>
      </c>
      <c r="E169" s="53">
        <v>61</v>
      </c>
      <c r="F169" s="56" t="s">
        <v>720</v>
      </c>
      <c r="G169" s="57" t="s">
        <v>78</v>
      </c>
      <c r="H169" s="58">
        <v>175000</v>
      </c>
      <c r="I169" s="59"/>
      <c r="J169" s="60" t="s">
        <v>2413</v>
      </c>
      <c r="K169" s="61"/>
      <c r="L169" s="62"/>
      <c r="M169" s="64"/>
      <c r="N169" s="65"/>
      <c r="O169" s="65"/>
      <c r="P169" s="65"/>
      <c r="Q169" s="65"/>
      <c r="R169" s="65"/>
      <c r="S169" s="65"/>
      <c r="T169" s="67">
        <v>15</v>
      </c>
      <c r="U169" s="67">
        <v>2565</v>
      </c>
      <c r="V169" s="68" t="s">
        <v>2180</v>
      </c>
      <c r="W169" s="69" t="e">
        <v>#REF!</v>
      </c>
      <c r="X169" s="70"/>
      <c r="Y169" s="70"/>
      <c r="Z169" s="70"/>
      <c r="AA169" s="429"/>
      <c r="AB169" s="429"/>
      <c r="AC169" s="429"/>
      <c r="AD169" s="429"/>
      <c r="AE169" s="429"/>
      <c r="AF169" s="429"/>
      <c r="AG169" s="429"/>
      <c r="AH169" s="429"/>
      <c r="AI169" s="429"/>
      <c r="AJ169" s="429"/>
      <c r="AK169" s="429"/>
      <c r="AL169" s="429"/>
      <c r="AM169" s="429"/>
    </row>
    <row r="170" spans="1:39">
      <c r="A170" s="50"/>
      <c r="B170" s="52">
        <v>4460</v>
      </c>
      <c r="C170" s="53" t="s">
        <v>683</v>
      </c>
      <c r="D170" s="55" t="s">
        <v>941</v>
      </c>
      <c r="E170" s="53">
        <v>52</v>
      </c>
      <c r="F170" s="56" t="s">
        <v>942</v>
      </c>
      <c r="G170" s="57" t="s">
        <v>78</v>
      </c>
      <c r="H170" s="58">
        <v>300000</v>
      </c>
      <c r="I170" s="59"/>
      <c r="J170" s="60" t="s">
        <v>2413</v>
      </c>
      <c r="K170" s="623" t="s">
        <v>2411</v>
      </c>
      <c r="L170" s="62"/>
      <c r="M170" s="64"/>
      <c r="N170" s="65"/>
      <c r="O170" s="65"/>
      <c r="P170" s="65"/>
      <c r="Q170" s="65"/>
      <c r="R170" s="65"/>
      <c r="S170" s="65"/>
      <c r="T170" s="67">
        <v>15</v>
      </c>
      <c r="U170" s="67">
        <v>2565</v>
      </c>
      <c r="V170" s="68" t="s">
        <v>2180</v>
      </c>
      <c r="W170" s="69" t="e">
        <v>#REF!</v>
      </c>
      <c r="X170" s="70"/>
      <c r="Y170" s="70"/>
      <c r="Z170" s="70"/>
      <c r="AA170" s="429"/>
      <c r="AB170" s="429"/>
      <c r="AC170" s="429"/>
      <c r="AD170" s="429"/>
      <c r="AE170" s="429"/>
      <c r="AF170" s="429"/>
      <c r="AG170" s="429"/>
      <c r="AH170" s="429"/>
      <c r="AI170" s="429"/>
      <c r="AJ170" s="429"/>
      <c r="AK170" s="429"/>
      <c r="AL170" s="429"/>
      <c r="AM170" s="429"/>
    </row>
    <row r="171" spans="1:39">
      <c r="A171" s="50"/>
      <c r="B171" s="52">
        <v>4460</v>
      </c>
      <c r="C171" s="53" t="s">
        <v>683</v>
      </c>
      <c r="D171" s="55" t="s">
        <v>943</v>
      </c>
      <c r="E171" s="53">
        <v>62</v>
      </c>
      <c r="F171" s="56" t="s">
        <v>944</v>
      </c>
      <c r="G171" s="57" t="s">
        <v>78</v>
      </c>
      <c r="H171" s="58">
        <v>790000</v>
      </c>
      <c r="I171" s="59"/>
      <c r="J171" s="60" t="s">
        <v>2413</v>
      </c>
      <c r="K171" s="61"/>
      <c r="L171" s="62"/>
      <c r="M171" s="64"/>
      <c r="N171" s="65"/>
      <c r="O171" s="65"/>
      <c r="P171" s="65"/>
      <c r="Q171" s="65"/>
      <c r="R171" s="65"/>
      <c r="S171" s="65"/>
      <c r="T171" s="67"/>
      <c r="U171" s="67"/>
      <c r="V171" s="68" t="s">
        <v>2180</v>
      </c>
      <c r="W171" s="69" t="e">
        <v>#REF!</v>
      </c>
      <c r="X171" s="70"/>
      <c r="Y171" s="70"/>
      <c r="Z171" s="70"/>
      <c r="AA171" s="429"/>
      <c r="AB171" s="429"/>
      <c r="AC171" s="429"/>
      <c r="AD171" s="429"/>
      <c r="AE171" s="429"/>
      <c r="AF171" s="429"/>
      <c r="AG171" s="429"/>
      <c r="AH171" s="429"/>
      <c r="AI171" s="429"/>
      <c r="AJ171" s="429"/>
      <c r="AK171" s="429"/>
      <c r="AL171" s="429"/>
      <c r="AM171" s="429"/>
    </row>
    <row r="172" spans="1:39">
      <c r="A172" s="629"/>
      <c r="B172" s="629">
        <v>4500</v>
      </c>
      <c r="C172" s="625"/>
      <c r="D172" s="625" t="s">
        <v>4088</v>
      </c>
      <c r="E172" s="629"/>
      <c r="F172" s="37"/>
      <c r="G172" s="37"/>
      <c r="H172" s="629"/>
      <c r="I172" s="625"/>
      <c r="J172" s="626"/>
      <c r="K172" s="621"/>
      <c r="L172" s="621"/>
      <c r="M172" s="37"/>
      <c r="N172" s="37"/>
      <c r="O172" s="629"/>
      <c r="P172" s="625"/>
      <c r="Q172" s="626"/>
      <c r="R172" s="621"/>
      <c r="S172" s="621"/>
      <c r="T172" s="37"/>
      <c r="U172" s="37"/>
      <c r="V172" s="37" t="s">
        <v>2182</v>
      </c>
      <c r="W172" s="37">
        <v>3</v>
      </c>
      <c r="X172" s="626"/>
      <c r="Y172" s="621"/>
      <c r="Z172" s="621"/>
      <c r="AA172" s="430"/>
      <c r="AB172" s="430"/>
      <c r="AC172" s="430"/>
      <c r="AD172" s="430"/>
      <c r="AE172" s="430"/>
      <c r="AF172" s="430"/>
      <c r="AG172" s="430"/>
      <c r="AH172" s="430"/>
      <c r="AI172" s="430"/>
      <c r="AJ172" s="430"/>
      <c r="AK172" s="430"/>
      <c r="AL172" s="430"/>
      <c r="AM172" s="430"/>
    </row>
    <row r="173" spans="1:39">
      <c r="A173" s="50"/>
      <c r="B173" s="52">
        <v>4520</v>
      </c>
      <c r="C173" s="53" t="s">
        <v>157</v>
      </c>
      <c r="D173" s="55" t="s">
        <v>947</v>
      </c>
      <c r="E173" s="53">
        <v>52</v>
      </c>
      <c r="F173" s="56" t="s">
        <v>948</v>
      </c>
      <c r="G173" s="57" t="s">
        <v>78</v>
      </c>
      <c r="H173" s="58">
        <v>28000</v>
      </c>
      <c r="I173" s="59"/>
      <c r="J173" s="60" t="s">
        <v>2414</v>
      </c>
      <c r="K173" s="623" t="s">
        <v>2414</v>
      </c>
      <c r="L173" s="62"/>
      <c r="M173" s="64"/>
      <c r="N173" s="65"/>
      <c r="O173" s="65"/>
      <c r="P173" s="65"/>
      <c r="Q173" s="65"/>
      <c r="R173" s="65"/>
      <c r="S173" s="65"/>
      <c r="T173" s="67">
        <v>15</v>
      </c>
      <c r="U173" s="67">
        <v>2565</v>
      </c>
      <c r="V173" s="68" t="s">
        <v>2182</v>
      </c>
      <c r="W173" s="69" t="e">
        <v>#REF!</v>
      </c>
      <c r="X173" s="70"/>
      <c r="Y173" s="70"/>
      <c r="Z173" s="70"/>
      <c r="AA173" s="429"/>
      <c r="AB173" s="429"/>
      <c r="AC173" s="429"/>
      <c r="AD173" s="429"/>
      <c r="AE173" s="429"/>
      <c r="AF173" s="429"/>
      <c r="AG173" s="429"/>
      <c r="AH173" s="429"/>
      <c r="AI173" s="429"/>
      <c r="AJ173" s="429"/>
      <c r="AK173" s="429"/>
      <c r="AL173" s="429"/>
      <c r="AM173" s="429"/>
    </row>
    <row r="174" spans="1:39">
      <c r="A174" s="50"/>
      <c r="B174" s="52">
        <v>4520</v>
      </c>
      <c r="C174" s="53" t="s">
        <v>157</v>
      </c>
      <c r="D174" s="55" t="s">
        <v>949</v>
      </c>
      <c r="E174" s="53">
        <v>62</v>
      </c>
      <c r="F174" s="56" t="s">
        <v>950</v>
      </c>
      <c r="G174" s="57" t="s">
        <v>78</v>
      </c>
      <c r="H174" s="58">
        <v>25000</v>
      </c>
      <c r="I174" s="59"/>
      <c r="J174" s="60" t="s">
        <v>2414</v>
      </c>
      <c r="K174" s="61"/>
      <c r="L174" s="62"/>
      <c r="M174" s="64"/>
      <c r="N174" s="65"/>
      <c r="O174" s="65"/>
      <c r="P174" s="65"/>
      <c r="Q174" s="65"/>
      <c r="R174" s="65"/>
      <c r="S174" s="65"/>
      <c r="T174" s="67"/>
      <c r="U174" s="67"/>
      <c r="V174" s="68" t="s">
        <v>2182</v>
      </c>
      <c r="W174" s="69" t="e">
        <v>#REF!</v>
      </c>
      <c r="X174" s="70"/>
      <c r="Y174" s="70"/>
      <c r="Z174" s="70"/>
      <c r="AA174" s="429"/>
      <c r="AB174" s="429"/>
      <c r="AC174" s="429"/>
      <c r="AD174" s="429"/>
      <c r="AE174" s="429"/>
      <c r="AF174" s="429"/>
      <c r="AG174" s="429"/>
      <c r="AH174" s="429"/>
      <c r="AI174" s="429"/>
      <c r="AJ174" s="429"/>
      <c r="AK174" s="429"/>
      <c r="AL174" s="429"/>
      <c r="AM174" s="429"/>
    </row>
    <row r="175" spans="1:39">
      <c r="A175" s="50"/>
      <c r="B175" s="52">
        <v>4520</v>
      </c>
      <c r="C175" s="53" t="s">
        <v>157</v>
      </c>
      <c r="D175" s="55" t="s">
        <v>951</v>
      </c>
      <c r="E175" s="53">
        <v>55</v>
      </c>
      <c r="F175" s="56" t="s">
        <v>952</v>
      </c>
      <c r="G175" s="57" t="s">
        <v>48</v>
      </c>
      <c r="H175" s="58">
        <v>8500</v>
      </c>
      <c r="I175" s="59"/>
      <c r="J175" s="60" t="s">
        <v>2414</v>
      </c>
      <c r="K175" s="623" t="s">
        <v>2414</v>
      </c>
      <c r="L175" s="62"/>
      <c r="M175" s="64"/>
      <c r="N175" s="65"/>
      <c r="O175" s="65"/>
      <c r="P175" s="65"/>
      <c r="Q175" s="65"/>
      <c r="R175" s="65"/>
      <c r="S175" s="65"/>
      <c r="T175" s="67">
        <v>15</v>
      </c>
      <c r="U175" s="67">
        <v>2568</v>
      </c>
      <c r="V175" s="68" t="s">
        <v>2182</v>
      </c>
      <c r="W175" s="69" t="e">
        <v>#REF!</v>
      </c>
      <c r="X175" s="70"/>
      <c r="Y175" s="70"/>
      <c r="Z175" s="70"/>
      <c r="AA175" s="429"/>
      <c r="AB175" s="429"/>
      <c r="AC175" s="429"/>
      <c r="AD175" s="429"/>
      <c r="AE175" s="429"/>
      <c r="AF175" s="429"/>
      <c r="AG175" s="429"/>
      <c r="AH175" s="429"/>
      <c r="AI175" s="429"/>
      <c r="AJ175" s="429"/>
      <c r="AK175" s="429"/>
      <c r="AL175" s="429"/>
      <c r="AM175" s="429"/>
    </row>
    <row r="176" spans="1:39">
      <c r="A176" s="629"/>
      <c r="B176" s="629">
        <v>4600</v>
      </c>
      <c r="C176" s="625"/>
      <c r="D176" s="625" t="s">
        <v>4089</v>
      </c>
      <c r="E176" s="37"/>
      <c r="F176" s="37"/>
      <c r="G176" s="629"/>
      <c r="H176" s="629"/>
      <c r="I176" s="625"/>
      <c r="J176" s="625"/>
      <c r="K176" s="629"/>
      <c r="L176" s="37"/>
      <c r="M176" s="37"/>
      <c r="N176" s="629"/>
      <c r="O176" s="629"/>
      <c r="P176" s="625"/>
      <c r="Q176" s="625"/>
      <c r="R176" s="625"/>
      <c r="S176" s="37"/>
      <c r="T176" s="37"/>
      <c r="U176" s="629"/>
      <c r="V176" s="37" t="s">
        <v>2184</v>
      </c>
      <c r="W176" s="37">
        <v>6</v>
      </c>
      <c r="X176" s="625"/>
      <c r="Y176" s="625"/>
      <c r="Z176" s="37"/>
      <c r="AA176" s="426"/>
      <c r="AB176" s="426"/>
      <c r="AC176" s="426"/>
      <c r="AD176" s="426"/>
      <c r="AE176" s="426"/>
      <c r="AF176" s="426"/>
      <c r="AG176" s="426"/>
      <c r="AH176" s="426"/>
      <c r="AI176" s="426"/>
      <c r="AJ176" s="426"/>
      <c r="AK176" s="426"/>
      <c r="AL176" s="426"/>
      <c r="AM176" s="426"/>
    </row>
    <row r="177" spans="1:39">
      <c r="A177" s="50"/>
      <c r="B177" s="52">
        <v>4610</v>
      </c>
      <c r="C177" s="53" t="s">
        <v>256</v>
      </c>
      <c r="D177" s="55" t="s">
        <v>954</v>
      </c>
      <c r="E177" s="53">
        <v>58</v>
      </c>
      <c r="F177" s="56" t="s">
        <v>955</v>
      </c>
      <c r="G177" s="57" t="s">
        <v>78</v>
      </c>
      <c r="H177" s="58">
        <v>22000</v>
      </c>
      <c r="I177" s="59"/>
      <c r="J177" s="60" t="s">
        <v>2415</v>
      </c>
      <c r="K177" s="623" t="s">
        <v>2415</v>
      </c>
      <c r="L177" s="62"/>
      <c r="M177" s="64"/>
      <c r="N177" s="65"/>
      <c r="O177" s="65"/>
      <c r="P177" s="65"/>
      <c r="Q177" s="65"/>
      <c r="R177" s="65"/>
      <c r="S177" s="65"/>
      <c r="T177" s="67">
        <v>15</v>
      </c>
      <c r="U177" s="67">
        <v>2571</v>
      </c>
      <c r="V177" s="68" t="s">
        <v>2184</v>
      </c>
      <c r="W177" s="69" t="e">
        <v>#REF!</v>
      </c>
      <c r="X177" s="70"/>
      <c r="Y177" s="70"/>
      <c r="Z177" s="70"/>
      <c r="AA177" s="429"/>
      <c r="AB177" s="429"/>
      <c r="AC177" s="429"/>
      <c r="AD177" s="429"/>
      <c r="AE177" s="429"/>
      <c r="AF177" s="429"/>
      <c r="AG177" s="429"/>
      <c r="AH177" s="429"/>
      <c r="AI177" s="429"/>
      <c r="AJ177" s="429"/>
      <c r="AK177" s="429"/>
      <c r="AL177" s="429"/>
      <c r="AM177" s="429"/>
    </row>
    <row r="178" spans="1:39">
      <c r="A178" s="50"/>
      <c r="B178" s="52">
        <v>4610</v>
      </c>
      <c r="C178" s="53" t="s">
        <v>256</v>
      </c>
      <c r="D178" s="55" t="s">
        <v>956</v>
      </c>
      <c r="E178" s="53">
        <v>54</v>
      </c>
      <c r="F178" s="56" t="s">
        <v>957</v>
      </c>
      <c r="G178" s="57" t="s">
        <v>78</v>
      </c>
      <c r="H178" s="58">
        <v>24000</v>
      </c>
      <c r="I178" s="59"/>
      <c r="J178" s="60" t="s">
        <v>2415</v>
      </c>
      <c r="K178" s="623" t="s">
        <v>2415</v>
      </c>
      <c r="L178" s="62"/>
      <c r="M178" s="64"/>
      <c r="N178" s="65"/>
      <c r="O178" s="65"/>
      <c r="P178" s="65"/>
      <c r="Q178" s="65"/>
      <c r="R178" s="65"/>
      <c r="S178" s="65"/>
      <c r="T178" s="67">
        <v>15</v>
      </c>
      <c r="U178" s="67">
        <v>2567</v>
      </c>
      <c r="V178" s="68" t="s">
        <v>2184</v>
      </c>
      <c r="W178" s="69" t="e">
        <v>#REF!</v>
      </c>
      <c r="X178" s="70"/>
      <c r="Y178" s="70"/>
      <c r="Z178" s="70"/>
      <c r="AA178" s="429"/>
      <c r="AB178" s="429"/>
      <c r="AC178" s="429"/>
      <c r="AD178" s="429"/>
      <c r="AE178" s="429"/>
      <c r="AF178" s="429"/>
      <c r="AG178" s="429"/>
      <c r="AH178" s="429"/>
      <c r="AI178" s="429"/>
      <c r="AJ178" s="429"/>
      <c r="AK178" s="429"/>
      <c r="AL178" s="429"/>
      <c r="AM178" s="429"/>
    </row>
    <row r="179" spans="1:39">
      <c r="A179" s="50"/>
      <c r="B179" s="52">
        <v>4630</v>
      </c>
      <c r="C179" s="53" t="s">
        <v>256</v>
      </c>
      <c r="D179" s="55" t="s">
        <v>958</v>
      </c>
      <c r="E179" s="53">
        <v>55</v>
      </c>
      <c r="F179" s="56" t="s">
        <v>959</v>
      </c>
      <c r="G179" s="57" t="s">
        <v>78</v>
      </c>
      <c r="H179" s="58">
        <v>37000</v>
      </c>
      <c r="I179" s="59"/>
      <c r="J179" s="60" t="s">
        <v>2418</v>
      </c>
      <c r="K179" s="623" t="s">
        <v>2418</v>
      </c>
      <c r="L179" s="62"/>
      <c r="M179" s="64"/>
      <c r="N179" s="65"/>
      <c r="O179" s="65"/>
      <c r="P179" s="65"/>
      <c r="Q179" s="65"/>
      <c r="R179" s="65"/>
      <c r="S179" s="65"/>
      <c r="T179" s="67">
        <v>15</v>
      </c>
      <c r="U179" s="67">
        <v>2568</v>
      </c>
      <c r="V179" s="68" t="s">
        <v>2184</v>
      </c>
      <c r="W179" s="69" t="e">
        <v>#REF!</v>
      </c>
      <c r="X179" s="70"/>
      <c r="Y179" s="70"/>
      <c r="Z179" s="70"/>
      <c r="AA179" s="429"/>
      <c r="AB179" s="429"/>
      <c r="AC179" s="429"/>
      <c r="AD179" s="429"/>
      <c r="AE179" s="429"/>
      <c r="AF179" s="429"/>
      <c r="AG179" s="429"/>
      <c r="AH179" s="429"/>
      <c r="AI179" s="429"/>
      <c r="AJ179" s="429"/>
      <c r="AK179" s="429"/>
      <c r="AL179" s="429"/>
      <c r="AM179" s="429"/>
    </row>
    <row r="180" spans="1:39">
      <c r="A180" s="50"/>
      <c r="B180" s="52">
        <v>4630</v>
      </c>
      <c r="C180" s="53" t="s">
        <v>157</v>
      </c>
      <c r="D180" s="55" t="s">
        <v>960</v>
      </c>
      <c r="E180" s="53">
        <v>54</v>
      </c>
      <c r="F180" s="56" t="s">
        <v>961</v>
      </c>
      <c r="G180" s="57" t="s">
        <v>78</v>
      </c>
      <c r="H180" s="58">
        <v>25000</v>
      </c>
      <c r="I180" s="59"/>
      <c r="J180" s="60" t="s">
        <v>2418</v>
      </c>
      <c r="K180" s="623" t="s">
        <v>2418</v>
      </c>
      <c r="L180" s="62"/>
      <c r="M180" s="64"/>
      <c r="N180" s="65"/>
      <c r="O180" s="65"/>
      <c r="P180" s="65"/>
      <c r="Q180" s="65"/>
      <c r="R180" s="65"/>
      <c r="S180" s="65"/>
      <c r="T180" s="67">
        <v>15</v>
      </c>
      <c r="U180" s="67">
        <v>2567</v>
      </c>
      <c r="V180" s="68" t="s">
        <v>2184</v>
      </c>
      <c r="W180" s="69" t="e">
        <v>#REF!</v>
      </c>
      <c r="X180" s="70"/>
      <c r="Y180" s="70"/>
      <c r="Z180" s="70"/>
      <c r="AA180" s="429"/>
      <c r="AB180" s="429"/>
      <c r="AC180" s="429"/>
      <c r="AD180" s="429"/>
      <c r="AE180" s="429"/>
      <c r="AF180" s="429"/>
      <c r="AG180" s="429"/>
      <c r="AH180" s="429"/>
      <c r="AI180" s="429"/>
      <c r="AJ180" s="429"/>
      <c r="AK180" s="429"/>
      <c r="AL180" s="429"/>
      <c r="AM180" s="429"/>
    </row>
    <row r="181" spans="1:39">
      <c r="A181" s="50"/>
      <c r="B181" s="52">
        <v>4630</v>
      </c>
      <c r="C181" s="53" t="s">
        <v>256</v>
      </c>
      <c r="D181" s="55" t="s">
        <v>962</v>
      </c>
      <c r="E181" s="53">
        <v>55</v>
      </c>
      <c r="F181" s="56" t="s">
        <v>963</v>
      </c>
      <c r="G181" s="57" t="s">
        <v>78</v>
      </c>
      <c r="H181" s="58">
        <v>250000</v>
      </c>
      <c r="I181" s="59"/>
      <c r="J181" s="60" t="s">
        <v>2418</v>
      </c>
      <c r="K181" s="623" t="s">
        <v>2418</v>
      </c>
      <c r="L181" s="62"/>
      <c r="M181" s="64"/>
      <c r="N181" s="65"/>
      <c r="O181" s="65"/>
      <c r="P181" s="65"/>
      <c r="Q181" s="65"/>
      <c r="R181" s="65"/>
      <c r="S181" s="65"/>
      <c r="T181" s="67">
        <v>15</v>
      </c>
      <c r="U181" s="67">
        <v>2568</v>
      </c>
      <c r="V181" s="68" t="s">
        <v>2184</v>
      </c>
      <c r="W181" s="69" t="e">
        <v>#REF!</v>
      </c>
      <c r="X181" s="70"/>
      <c r="Y181" s="70"/>
      <c r="Z181" s="70"/>
      <c r="AA181" s="429"/>
      <c r="AB181" s="429"/>
      <c r="AC181" s="429"/>
      <c r="AD181" s="429"/>
      <c r="AE181" s="429"/>
      <c r="AF181" s="429"/>
      <c r="AG181" s="429"/>
      <c r="AH181" s="429"/>
      <c r="AI181" s="429"/>
      <c r="AJ181" s="429"/>
      <c r="AK181" s="429"/>
      <c r="AL181" s="429"/>
      <c r="AM181" s="429"/>
    </row>
    <row r="182" spans="1:39">
      <c r="A182" s="50"/>
      <c r="B182" s="333">
        <v>4630</v>
      </c>
      <c r="C182" s="334" t="s">
        <v>63</v>
      </c>
      <c r="D182" s="335" t="s">
        <v>964</v>
      </c>
      <c r="E182" s="334">
        <v>56</v>
      </c>
      <c r="F182" s="336" t="s">
        <v>4109</v>
      </c>
      <c r="G182" s="337" t="s">
        <v>28</v>
      </c>
      <c r="H182" s="338"/>
      <c r="I182" s="339"/>
      <c r="J182" s="340" t="s">
        <v>2418</v>
      </c>
      <c r="K182" s="622" t="s">
        <v>2418</v>
      </c>
      <c r="L182" s="62"/>
      <c r="M182" s="64"/>
      <c r="N182" s="65"/>
      <c r="O182" s="65"/>
      <c r="P182" s="65"/>
      <c r="Q182" s="65"/>
      <c r="R182" s="65"/>
      <c r="S182" s="65"/>
      <c r="T182" s="67">
        <v>15</v>
      </c>
      <c r="U182" s="67">
        <v>2569</v>
      </c>
      <c r="V182" s="68" t="s">
        <v>2184</v>
      </c>
      <c r="W182" s="69" t="e">
        <v>#REF!</v>
      </c>
      <c r="X182" s="70"/>
      <c r="Y182" s="70"/>
      <c r="Z182" s="70"/>
      <c r="AA182" s="429"/>
      <c r="AB182" s="429"/>
      <c r="AC182" s="429"/>
      <c r="AD182" s="429"/>
      <c r="AE182" s="429"/>
      <c r="AF182" s="429"/>
      <c r="AG182" s="429"/>
      <c r="AH182" s="429"/>
      <c r="AI182" s="429"/>
      <c r="AJ182" s="429"/>
      <c r="AK182" s="429"/>
      <c r="AL182" s="429"/>
      <c r="AM182" s="429"/>
    </row>
    <row r="183" spans="1:39">
      <c r="A183" s="629"/>
      <c r="B183" s="629">
        <v>4900</v>
      </c>
      <c r="C183" s="625"/>
      <c r="D183" s="625" t="s">
        <v>4090</v>
      </c>
      <c r="E183" s="37"/>
      <c r="F183" s="37"/>
      <c r="G183" s="629"/>
      <c r="H183" s="629"/>
      <c r="I183" s="625"/>
      <c r="J183" s="625"/>
      <c r="K183" s="629"/>
      <c r="L183" s="37"/>
      <c r="M183" s="37"/>
      <c r="N183" s="629"/>
      <c r="O183" s="629"/>
      <c r="P183" s="625"/>
      <c r="Q183" s="625"/>
      <c r="R183" s="625"/>
      <c r="S183" s="37"/>
      <c r="T183" s="37"/>
      <c r="U183" s="629"/>
      <c r="V183" s="37" t="s">
        <v>2191</v>
      </c>
      <c r="W183" s="37">
        <v>3</v>
      </c>
      <c r="X183" s="625"/>
      <c r="Y183" s="625"/>
      <c r="Z183" s="37"/>
      <c r="AA183" s="426"/>
      <c r="AB183" s="426"/>
      <c r="AC183" s="426"/>
      <c r="AD183" s="426"/>
      <c r="AE183" s="426"/>
      <c r="AF183" s="426"/>
      <c r="AG183" s="426"/>
      <c r="AH183" s="426"/>
      <c r="AI183" s="426"/>
      <c r="AJ183" s="426"/>
      <c r="AK183" s="426"/>
      <c r="AL183" s="426"/>
      <c r="AM183" s="426"/>
    </row>
    <row r="184" spans="1:39">
      <c r="A184" s="50"/>
      <c r="B184" s="52">
        <v>4910</v>
      </c>
      <c r="C184" s="53" t="s">
        <v>157</v>
      </c>
      <c r="D184" s="55" t="s">
        <v>966</v>
      </c>
      <c r="E184" s="53">
        <v>53</v>
      </c>
      <c r="F184" s="56" t="s">
        <v>967</v>
      </c>
      <c r="G184" s="57" t="s">
        <v>78</v>
      </c>
      <c r="H184" s="58">
        <v>165000</v>
      </c>
      <c r="I184" s="59"/>
      <c r="J184" s="60" t="s">
        <v>2419</v>
      </c>
      <c r="K184" s="61"/>
      <c r="L184" s="62"/>
      <c r="M184" s="64"/>
      <c r="N184" s="65"/>
      <c r="O184" s="65"/>
      <c r="P184" s="65"/>
      <c r="Q184" s="65"/>
      <c r="R184" s="65"/>
      <c r="S184" s="65"/>
      <c r="T184" s="67">
        <v>15</v>
      </c>
      <c r="U184" s="67">
        <v>2566</v>
      </c>
      <c r="V184" s="68" t="s">
        <v>2191</v>
      </c>
      <c r="W184" s="69" t="e">
        <v>#REF!</v>
      </c>
      <c r="X184" s="70"/>
      <c r="Y184" s="70"/>
      <c r="Z184" s="70"/>
      <c r="AA184" s="429"/>
      <c r="AB184" s="429"/>
      <c r="AC184" s="429"/>
      <c r="AD184" s="429"/>
      <c r="AE184" s="429"/>
      <c r="AF184" s="429"/>
      <c r="AG184" s="429"/>
      <c r="AH184" s="429"/>
      <c r="AI184" s="429"/>
      <c r="AJ184" s="429"/>
      <c r="AK184" s="429"/>
      <c r="AL184" s="429"/>
      <c r="AM184" s="429"/>
    </row>
    <row r="185" spans="1:39">
      <c r="A185" s="50"/>
      <c r="B185" s="52">
        <v>4930</v>
      </c>
      <c r="C185" s="53" t="s">
        <v>157</v>
      </c>
      <c r="D185" s="55" t="s">
        <v>968</v>
      </c>
      <c r="E185" s="53">
        <v>53</v>
      </c>
      <c r="F185" s="56" t="s">
        <v>969</v>
      </c>
      <c r="G185" s="57" t="s">
        <v>78</v>
      </c>
      <c r="H185" s="58">
        <v>27000</v>
      </c>
      <c r="I185" s="59"/>
      <c r="J185" s="60" t="s">
        <v>2422</v>
      </c>
      <c r="K185" s="623" t="s">
        <v>2422</v>
      </c>
      <c r="L185" s="62"/>
      <c r="M185" s="64"/>
      <c r="N185" s="65"/>
      <c r="O185" s="65"/>
      <c r="P185" s="65"/>
      <c r="Q185" s="65"/>
      <c r="R185" s="65"/>
      <c r="S185" s="65"/>
      <c r="T185" s="67">
        <v>15</v>
      </c>
      <c r="U185" s="67">
        <v>2566</v>
      </c>
      <c r="V185" s="68" t="s">
        <v>2191</v>
      </c>
      <c r="W185" s="69" t="e">
        <v>#REF!</v>
      </c>
      <c r="X185" s="70"/>
      <c r="Y185" s="70"/>
      <c r="Z185" s="70"/>
      <c r="AA185" s="429"/>
      <c r="AB185" s="429"/>
      <c r="AC185" s="429"/>
      <c r="AD185" s="429"/>
      <c r="AE185" s="429"/>
      <c r="AF185" s="429"/>
      <c r="AG185" s="429"/>
      <c r="AH185" s="429"/>
      <c r="AI185" s="429"/>
      <c r="AJ185" s="429"/>
      <c r="AK185" s="429"/>
      <c r="AL185" s="429"/>
      <c r="AM185" s="429"/>
    </row>
    <row r="186" spans="1:39">
      <c r="A186" s="50"/>
      <c r="B186" s="52">
        <v>4930</v>
      </c>
      <c r="C186" s="53" t="s">
        <v>157</v>
      </c>
      <c r="D186" s="55" t="s">
        <v>970</v>
      </c>
      <c r="E186" s="53">
        <v>53</v>
      </c>
      <c r="F186" s="56" t="s">
        <v>971</v>
      </c>
      <c r="G186" s="57" t="s">
        <v>78</v>
      </c>
      <c r="H186" s="58">
        <v>25000</v>
      </c>
      <c r="I186" s="59"/>
      <c r="J186" s="60" t="s">
        <v>2422</v>
      </c>
      <c r="K186" s="623" t="s">
        <v>2422</v>
      </c>
      <c r="L186" s="62"/>
      <c r="M186" s="64"/>
      <c r="N186" s="65"/>
      <c r="O186" s="65"/>
      <c r="P186" s="65"/>
      <c r="Q186" s="65"/>
      <c r="R186" s="65"/>
      <c r="S186" s="65"/>
      <c r="T186" s="67">
        <v>15</v>
      </c>
      <c r="U186" s="67">
        <v>2566</v>
      </c>
      <c r="V186" s="68" t="s">
        <v>2191</v>
      </c>
      <c r="W186" s="69" t="e">
        <v>#REF!</v>
      </c>
      <c r="X186" s="70"/>
      <c r="Y186" s="70"/>
      <c r="Z186" s="70"/>
      <c r="AA186" s="429"/>
      <c r="AB186" s="429"/>
      <c r="AC186" s="429"/>
      <c r="AD186" s="429"/>
      <c r="AE186" s="429"/>
      <c r="AF186" s="429"/>
      <c r="AG186" s="429"/>
      <c r="AH186" s="429"/>
      <c r="AI186" s="429"/>
      <c r="AJ186" s="429"/>
      <c r="AK186" s="429"/>
      <c r="AL186" s="429"/>
      <c r="AM186" s="429"/>
    </row>
    <row r="187" spans="1:39">
      <c r="A187" s="629"/>
      <c r="B187" s="629">
        <v>5100</v>
      </c>
      <c r="C187" s="625"/>
      <c r="D187" s="625" t="s">
        <v>4091</v>
      </c>
      <c r="E187" s="37"/>
      <c r="F187" s="37"/>
      <c r="G187" s="629" t="s">
        <v>78</v>
      </c>
      <c r="H187" s="629" t="s">
        <v>78</v>
      </c>
      <c r="I187" s="625" t="s">
        <v>78</v>
      </c>
      <c r="J187" s="625"/>
      <c r="K187" s="629"/>
      <c r="L187" s="37"/>
      <c r="M187" s="37"/>
      <c r="N187" s="629"/>
      <c r="O187" s="629"/>
      <c r="P187" s="625"/>
      <c r="Q187" s="625"/>
      <c r="R187" s="625"/>
      <c r="S187" s="37"/>
      <c r="T187" s="37"/>
      <c r="U187" s="629"/>
      <c r="V187" s="37" t="s">
        <v>2196</v>
      </c>
      <c r="W187" s="37">
        <v>26</v>
      </c>
      <c r="X187" s="625"/>
      <c r="Y187" s="625"/>
      <c r="Z187" s="37"/>
      <c r="AA187" s="426"/>
      <c r="AB187" s="426"/>
      <c r="AC187" s="426"/>
      <c r="AD187" s="426"/>
      <c r="AE187" s="426"/>
      <c r="AF187" s="426"/>
      <c r="AG187" s="426"/>
      <c r="AH187" s="426"/>
      <c r="AI187" s="426"/>
      <c r="AJ187" s="426"/>
      <c r="AK187" s="426"/>
      <c r="AL187" s="426"/>
      <c r="AM187" s="426"/>
    </row>
    <row r="188" spans="1:39">
      <c r="A188" s="50"/>
      <c r="B188" s="52">
        <v>5110</v>
      </c>
      <c r="C188" s="53" t="s">
        <v>37</v>
      </c>
      <c r="D188" s="55" t="s">
        <v>972</v>
      </c>
      <c r="E188" s="53">
        <v>53</v>
      </c>
      <c r="F188" s="56" t="s">
        <v>973</v>
      </c>
      <c r="G188" s="57" t="s">
        <v>78</v>
      </c>
      <c r="H188" s="58">
        <v>80000</v>
      </c>
      <c r="I188" s="59"/>
      <c r="J188" s="60" t="s">
        <v>2425</v>
      </c>
      <c r="K188" s="623" t="s">
        <v>2425</v>
      </c>
      <c r="L188" s="62"/>
      <c r="M188" s="64"/>
      <c r="N188" s="65"/>
      <c r="O188" s="65"/>
      <c r="P188" s="65"/>
      <c r="Q188" s="65"/>
      <c r="R188" s="65"/>
      <c r="S188" s="65"/>
      <c r="T188" s="67">
        <v>10</v>
      </c>
      <c r="U188" s="67">
        <v>2561</v>
      </c>
      <c r="V188" s="68" t="s">
        <v>2196</v>
      </c>
      <c r="W188" s="69" t="e">
        <v>#REF!</v>
      </c>
      <c r="X188" s="70"/>
      <c r="Y188" s="70"/>
      <c r="Z188" s="70"/>
      <c r="AA188" s="429"/>
      <c r="AB188" s="429"/>
      <c r="AC188" s="429"/>
      <c r="AD188" s="429"/>
      <c r="AE188" s="429"/>
      <c r="AF188" s="429"/>
      <c r="AG188" s="429"/>
      <c r="AH188" s="429"/>
      <c r="AI188" s="429"/>
      <c r="AJ188" s="429"/>
      <c r="AK188" s="429"/>
      <c r="AL188" s="429"/>
      <c r="AM188" s="429"/>
    </row>
    <row r="189" spans="1:39">
      <c r="A189" s="50"/>
      <c r="B189" s="52">
        <v>5120</v>
      </c>
      <c r="C189" s="53" t="s">
        <v>157</v>
      </c>
      <c r="D189" s="55" t="s">
        <v>974</v>
      </c>
      <c r="E189" s="53">
        <v>52</v>
      </c>
      <c r="F189" s="56" t="s">
        <v>975</v>
      </c>
      <c r="G189" s="57" t="s">
        <v>976</v>
      </c>
      <c r="H189" s="58">
        <v>15000</v>
      </c>
      <c r="I189" s="59"/>
      <c r="J189" s="60" t="s">
        <v>2426</v>
      </c>
      <c r="K189" s="623" t="s">
        <v>2426</v>
      </c>
      <c r="L189" s="62"/>
      <c r="M189" s="64"/>
      <c r="N189" s="65"/>
      <c r="O189" s="65"/>
      <c r="P189" s="65"/>
      <c r="Q189" s="65"/>
      <c r="R189" s="65"/>
      <c r="S189" s="65"/>
      <c r="T189" s="67">
        <v>10</v>
      </c>
      <c r="U189" s="67">
        <v>2560</v>
      </c>
      <c r="V189" s="68" t="s">
        <v>2196</v>
      </c>
      <c r="W189" s="69" t="e">
        <v>#REF!</v>
      </c>
      <c r="X189" s="70"/>
      <c r="Y189" s="70"/>
      <c r="Z189" s="70"/>
      <c r="AA189" s="429"/>
      <c r="AB189" s="429"/>
      <c r="AC189" s="429"/>
      <c r="AD189" s="429"/>
      <c r="AE189" s="429"/>
      <c r="AF189" s="429"/>
      <c r="AG189" s="429"/>
      <c r="AH189" s="429"/>
      <c r="AI189" s="429"/>
      <c r="AJ189" s="429"/>
      <c r="AK189" s="429"/>
      <c r="AL189" s="429"/>
      <c r="AM189" s="429"/>
    </row>
    <row r="190" spans="1:39">
      <c r="A190" s="50"/>
      <c r="B190" s="52">
        <v>5133</v>
      </c>
      <c r="C190" s="53" t="s">
        <v>157</v>
      </c>
      <c r="D190" s="55" t="s">
        <v>1024</v>
      </c>
      <c r="E190" s="53">
        <v>53</v>
      </c>
      <c r="F190" s="56" t="s">
        <v>1025</v>
      </c>
      <c r="G190" s="57" t="s">
        <v>53</v>
      </c>
      <c r="H190" s="58">
        <v>4500</v>
      </c>
      <c r="I190" s="59"/>
      <c r="J190" s="60" t="s">
        <v>2428</v>
      </c>
      <c r="K190" s="623" t="s">
        <v>2428</v>
      </c>
      <c r="L190" s="62"/>
      <c r="M190" s="64"/>
      <c r="N190" s="65"/>
      <c r="O190" s="65"/>
      <c r="P190" s="65"/>
      <c r="Q190" s="65"/>
      <c r="R190" s="65"/>
      <c r="S190" s="65"/>
      <c r="T190" s="67"/>
      <c r="U190" s="67"/>
      <c r="V190" s="68"/>
      <c r="W190" s="69"/>
      <c r="X190" s="70"/>
      <c r="Y190" s="70"/>
      <c r="Z190" s="70"/>
      <c r="AA190" s="429"/>
      <c r="AB190" s="429"/>
      <c r="AC190" s="429"/>
      <c r="AD190" s="429"/>
      <c r="AE190" s="429"/>
      <c r="AF190" s="429"/>
      <c r="AG190" s="429"/>
      <c r="AH190" s="429"/>
      <c r="AI190" s="429"/>
      <c r="AJ190" s="429"/>
      <c r="AK190" s="429"/>
      <c r="AL190" s="429"/>
      <c r="AM190" s="429"/>
    </row>
    <row r="191" spans="1:39">
      <c r="A191" s="50"/>
      <c r="B191" s="52">
        <v>5120</v>
      </c>
      <c r="C191" s="53" t="s">
        <v>37</v>
      </c>
      <c r="D191" s="55" t="s">
        <v>977</v>
      </c>
      <c r="E191" s="53">
        <v>55</v>
      </c>
      <c r="F191" s="56" t="s">
        <v>978</v>
      </c>
      <c r="G191" s="57" t="s">
        <v>78</v>
      </c>
      <c r="H191" s="58"/>
      <c r="I191" s="59"/>
      <c r="J191" s="60" t="s">
        <v>2426</v>
      </c>
      <c r="K191" s="623" t="s">
        <v>2426</v>
      </c>
      <c r="L191" s="62"/>
      <c r="M191" s="64"/>
      <c r="N191" s="65"/>
      <c r="O191" s="65"/>
      <c r="P191" s="65"/>
      <c r="Q191" s="65"/>
      <c r="R191" s="65"/>
      <c r="S191" s="65"/>
      <c r="T191" s="67">
        <v>10</v>
      </c>
      <c r="U191" s="67">
        <v>2563</v>
      </c>
      <c r="V191" s="68" t="s">
        <v>2196</v>
      </c>
      <c r="W191" s="69" t="e">
        <v>#REF!</v>
      </c>
      <c r="X191" s="70"/>
      <c r="Y191" s="70"/>
      <c r="Z191" s="70"/>
      <c r="AA191" s="429"/>
      <c r="AB191" s="429"/>
      <c r="AC191" s="429"/>
      <c r="AD191" s="429"/>
      <c r="AE191" s="429"/>
      <c r="AF191" s="429"/>
      <c r="AG191" s="429"/>
      <c r="AH191" s="429"/>
      <c r="AI191" s="429"/>
      <c r="AJ191" s="429"/>
      <c r="AK191" s="429"/>
      <c r="AL191" s="429"/>
      <c r="AM191" s="429"/>
    </row>
    <row r="192" spans="1:39">
      <c r="A192" s="50"/>
      <c r="B192" s="52">
        <v>5120</v>
      </c>
      <c r="C192" s="53" t="s">
        <v>157</v>
      </c>
      <c r="D192" s="55" t="s">
        <v>979</v>
      </c>
      <c r="E192" s="53">
        <v>52</v>
      </c>
      <c r="F192" s="56" t="s">
        <v>980</v>
      </c>
      <c r="G192" s="57" t="s">
        <v>48</v>
      </c>
      <c r="H192" s="58">
        <v>6500</v>
      </c>
      <c r="I192" s="59"/>
      <c r="J192" s="60" t="s">
        <v>2426</v>
      </c>
      <c r="K192" s="623" t="s">
        <v>2426</v>
      </c>
      <c r="L192" s="62"/>
      <c r="M192" s="64"/>
      <c r="N192" s="65"/>
      <c r="O192" s="65"/>
      <c r="P192" s="65"/>
      <c r="Q192" s="65"/>
      <c r="R192" s="65"/>
      <c r="S192" s="65"/>
      <c r="T192" s="67">
        <v>10</v>
      </c>
      <c r="U192" s="67">
        <v>2560</v>
      </c>
      <c r="V192" s="68" t="s">
        <v>2196</v>
      </c>
      <c r="W192" s="69" t="e">
        <v>#REF!</v>
      </c>
      <c r="X192" s="70"/>
      <c r="Y192" s="70"/>
      <c r="Z192" s="70"/>
      <c r="AA192" s="429"/>
      <c r="AB192" s="429"/>
      <c r="AC192" s="429"/>
      <c r="AD192" s="429"/>
      <c r="AE192" s="429"/>
      <c r="AF192" s="429"/>
      <c r="AG192" s="429"/>
      <c r="AH192" s="429"/>
      <c r="AI192" s="429"/>
      <c r="AJ192" s="429"/>
      <c r="AK192" s="429"/>
      <c r="AL192" s="429"/>
      <c r="AM192" s="429"/>
    </row>
    <row r="193" spans="1:39">
      <c r="A193" s="50"/>
      <c r="B193" s="52">
        <v>5120</v>
      </c>
      <c r="C193" s="53" t="s">
        <v>157</v>
      </c>
      <c r="D193" s="55" t="s">
        <v>981</v>
      </c>
      <c r="E193" s="53">
        <v>54</v>
      </c>
      <c r="F193" s="56" t="s">
        <v>982</v>
      </c>
      <c r="G193" s="57" t="s">
        <v>48</v>
      </c>
      <c r="H193" s="58">
        <v>7500</v>
      </c>
      <c r="I193" s="59"/>
      <c r="J193" s="60" t="s">
        <v>2426</v>
      </c>
      <c r="K193" s="623" t="s">
        <v>2426</v>
      </c>
      <c r="L193" s="62"/>
      <c r="M193" s="64"/>
      <c r="N193" s="65"/>
      <c r="O193" s="65"/>
      <c r="P193" s="65"/>
      <c r="Q193" s="65"/>
      <c r="R193" s="65"/>
      <c r="S193" s="65"/>
      <c r="T193" s="67">
        <v>10</v>
      </c>
      <c r="U193" s="67">
        <v>2562</v>
      </c>
      <c r="V193" s="68" t="s">
        <v>2196</v>
      </c>
      <c r="W193" s="69" t="e">
        <v>#REF!</v>
      </c>
      <c r="X193" s="70"/>
      <c r="Y193" s="70"/>
      <c r="Z193" s="70"/>
      <c r="AA193" s="429"/>
      <c r="AB193" s="429"/>
      <c r="AC193" s="429"/>
      <c r="AD193" s="429"/>
      <c r="AE193" s="429"/>
      <c r="AF193" s="429"/>
      <c r="AG193" s="429"/>
      <c r="AH193" s="429"/>
      <c r="AI193" s="429"/>
      <c r="AJ193" s="429"/>
      <c r="AK193" s="429"/>
      <c r="AL193" s="429"/>
      <c r="AM193" s="429"/>
    </row>
    <row r="194" spans="1:39">
      <c r="A194" s="50"/>
      <c r="B194" s="52">
        <v>5120</v>
      </c>
      <c r="C194" s="53" t="s">
        <v>157</v>
      </c>
      <c r="D194" s="55" t="s">
        <v>983</v>
      </c>
      <c r="E194" s="53">
        <v>53</v>
      </c>
      <c r="F194" s="56" t="s">
        <v>984</v>
      </c>
      <c r="G194" s="57" t="s">
        <v>48</v>
      </c>
      <c r="H194" s="58">
        <v>12500</v>
      </c>
      <c r="I194" s="59"/>
      <c r="J194" s="60" t="s">
        <v>2426</v>
      </c>
      <c r="K194" s="623" t="s">
        <v>2426</v>
      </c>
      <c r="L194" s="62"/>
      <c r="M194" s="64"/>
      <c r="N194" s="65"/>
      <c r="O194" s="65"/>
      <c r="P194" s="65"/>
      <c r="Q194" s="65"/>
      <c r="R194" s="65"/>
      <c r="S194" s="65"/>
      <c r="T194" s="67">
        <v>10</v>
      </c>
      <c r="U194" s="67">
        <v>2561</v>
      </c>
      <c r="V194" s="68" t="s">
        <v>2196</v>
      </c>
      <c r="W194" s="69" t="e">
        <v>#REF!</v>
      </c>
      <c r="X194" s="70"/>
      <c r="Y194" s="70"/>
      <c r="Z194" s="70"/>
      <c r="AA194" s="429"/>
      <c r="AB194" s="429"/>
      <c r="AC194" s="429"/>
      <c r="AD194" s="429"/>
      <c r="AE194" s="429"/>
      <c r="AF194" s="429"/>
      <c r="AG194" s="429"/>
      <c r="AH194" s="429"/>
      <c r="AI194" s="429"/>
      <c r="AJ194" s="429"/>
      <c r="AK194" s="429"/>
      <c r="AL194" s="429"/>
      <c r="AM194" s="429"/>
    </row>
    <row r="195" spans="1:39">
      <c r="A195" s="50"/>
      <c r="B195" s="52">
        <v>5120</v>
      </c>
      <c r="C195" s="53" t="s">
        <v>157</v>
      </c>
      <c r="D195" s="55" t="s">
        <v>985</v>
      </c>
      <c r="E195" s="53">
        <v>54</v>
      </c>
      <c r="F195" s="56" t="s">
        <v>986</v>
      </c>
      <c r="G195" s="57" t="s">
        <v>48</v>
      </c>
      <c r="H195" s="58">
        <v>15000</v>
      </c>
      <c r="I195" s="59"/>
      <c r="J195" s="60" t="s">
        <v>2426</v>
      </c>
      <c r="K195" s="623" t="s">
        <v>2426</v>
      </c>
      <c r="L195" s="62"/>
      <c r="M195" s="64"/>
      <c r="N195" s="65"/>
      <c r="O195" s="65"/>
      <c r="P195" s="65"/>
      <c r="Q195" s="65"/>
      <c r="R195" s="65"/>
      <c r="S195" s="65"/>
      <c r="T195" s="67">
        <v>10</v>
      </c>
      <c r="U195" s="67">
        <v>2562</v>
      </c>
      <c r="V195" s="68" t="s">
        <v>2196</v>
      </c>
      <c r="W195" s="69" t="e">
        <v>#REF!</v>
      </c>
      <c r="X195" s="70"/>
      <c r="Y195" s="70"/>
      <c r="Z195" s="70"/>
      <c r="AA195" s="429"/>
      <c r="AB195" s="429"/>
      <c r="AC195" s="429"/>
      <c r="AD195" s="429"/>
      <c r="AE195" s="429"/>
      <c r="AF195" s="429"/>
      <c r="AG195" s="429"/>
      <c r="AH195" s="429"/>
      <c r="AI195" s="429"/>
      <c r="AJ195" s="429"/>
      <c r="AK195" s="429"/>
      <c r="AL195" s="429"/>
      <c r="AM195" s="429"/>
    </row>
    <row r="196" spans="1:39">
      <c r="A196" s="50"/>
      <c r="B196" s="52">
        <v>5120</v>
      </c>
      <c r="C196" s="53" t="s">
        <v>157</v>
      </c>
      <c r="D196" s="55" t="s">
        <v>987</v>
      </c>
      <c r="E196" s="53">
        <v>54</v>
      </c>
      <c r="F196" s="56" t="s">
        <v>989</v>
      </c>
      <c r="G196" s="57" t="s">
        <v>48</v>
      </c>
      <c r="H196" s="58">
        <v>65000</v>
      </c>
      <c r="I196" s="59"/>
      <c r="J196" s="60" t="s">
        <v>2426</v>
      </c>
      <c r="K196" s="623" t="s">
        <v>2426</v>
      </c>
      <c r="L196" s="62"/>
      <c r="M196" s="64"/>
      <c r="N196" s="65"/>
      <c r="O196" s="65"/>
      <c r="P196" s="65"/>
      <c r="Q196" s="65"/>
      <c r="R196" s="65"/>
      <c r="S196" s="65"/>
      <c r="T196" s="67">
        <v>10</v>
      </c>
      <c r="U196" s="67">
        <v>2562</v>
      </c>
      <c r="V196" s="68" t="s">
        <v>2196</v>
      </c>
      <c r="W196" s="69" t="e">
        <v>#REF!</v>
      </c>
      <c r="X196" s="70"/>
      <c r="Y196" s="70"/>
      <c r="Z196" s="70"/>
      <c r="AA196" s="429"/>
      <c r="AB196" s="429"/>
      <c r="AC196" s="429"/>
      <c r="AD196" s="429"/>
      <c r="AE196" s="429"/>
      <c r="AF196" s="429"/>
      <c r="AG196" s="429"/>
      <c r="AH196" s="429"/>
      <c r="AI196" s="429"/>
      <c r="AJ196" s="429"/>
      <c r="AK196" s="429"/>
      <c r="AL196" s="429"/>
      <c r="AM196" s="429"/>
    </row>
    <row r="197" spans="1:39">
      <c r="A197" s="50"/>
      <c r="B197" s="52">
        <v>5120</v>
      </c>
      <c r="C197" s="53" t="s">
        <v>157</v>
      </c>
      <c r="D197" s="55" t="s">
        <v>990</v>
      </c>
      <c r="E197" s="53">
        <v>54</v>
      </c>
      <c r="F197" s="56" t="s">
        <v>991</v>
      </c>
      <c r="G197" s="57" t="s">
        <v>48</v>
      </c>
      <c r="H197" s="58">
        <v>28000</v>
      </c>
      <c r="I197" s="59"/>
      <c r="J197" s="60" t="s">
        <v>2426</v>
      </c>
      <c r="K197" s="623" t="s">
        <v>2426</v>
      </c>
      <c r="L197" s="62"/>
      <c r="M197" s="64"/>
      <c r="N197" s="65"/>
      <c r="O197" s="65"/>
      <c r="P197" s="65"/>
      <c r="Q197" s="65"/>
      <c r="R197" s="65"/>
      <c r="S197" s="65"/>
      <c r="T197" s="67">
        <v>10</v>
      </c>
      <c r="U197" s="67">
        <v>2562</v>
      </c>
      <c r="V197" s="68" t="s">
        <v>2196</v>
      </c>
      <c r="W197" s="69" t="e">
        <v>#REF!</v>
      </c>
      <c r="X197" s="70"/>
      <c r="Y197" s="70"/>
      <c r="Z197" s="70"/>
      <c r="AA197" s="429"/>
      <c r="AB197" s="429"/>
      <c r="AC197" s="429"/>
      <c r="AD197" s="429"/>
      <c r="AE197" s="429"/>
      <c r="AF197" s="429"/>
      <c r="AG197" s="429"/>
      <c r="AH197" s="429"/>
      <c r="AI197" s="429"/>
      <c r="AJ197" s="429"/>
      <c r="AK197" s="429"/>
      <c r="AL197" s="429"/>
      <c r="AM197" s="429"/>
    </row>
    <row r="198" spans="1:39">
      <c r="A198" s="50"/>
      <c r="B198" s="52">
        <v>5130</v>
      </c>
      <c r="C198" s="53" t="s">
        <v>191</v>
      </c>
      <c r="D198" s="55" t="s">
        <v>992</v>
      </c>
      <c r="E198" s="53">
        <v>59</v>
      </c>
      <c r="F198" s="56" t="s">
        <v>993</v>
      </c>
      <c r="G198" s="57" t="s">
        <v>78</v>
      </c>
      <c r="H198" s="58">
        <v>15000</v>
      </c>
      <c r="I198" s="59"/>
      <c r="J198" s="60" t="s">
        <v>2427</v>
      </c>
      <c r="K198" s="61"/>
      <c r="L198" s="62"/>
      <c r="M198" s="64"/>
      <c r="N198" s="65"/>
      <c r="O198" s="65"/>
      <c r="P198" s="65"/>
      <c r="Q198" s="65"/>
      <c r="R198" s="65"/>
      <c r="S198" s="65"/>
      <c r="T198" s="67"/>
      <c r="U198" s="67">
        <v>2557</v>
      </c>
      <c r="V198" s="68" t="s">
        <v>2196</v>
      </c>
      <c r="W198" s="69" t="e">
        <v>#REF!</v>
      </c>
      <c r="X198" s="70"/>
      <c r="Y198" s="70"/>
      <c r="Z198" s="70"/>
      <c r="AA198" s="429"/>
      <c r="AB198" s="429"/>
      <c r="AC198" s="429"/>
      <c r="AD198" s="429"/>
      <c r="AE198" s="429"/>
      <c r="AF198" s="429"/>
      <c r="AG198" s="429"/>
      <c r="AH198" s="429"/>
      <c r="AI198" s="429"/>
      <c r="AJ198" s="429"/>
      <c r="AK198" s="429"/>
      <c r="AL198" s="429"/>
      <c r="AM198" s="429"/>
    </row>
    <row r="199" spans="1:39">
      <c r="A199" s="50"/>
      <c r="B199" s="52">
        <v>5130</v>
      </c>
      <c r="C199" s="53" t="s">
        <v>191</v>
      </c>
      <c r="D199" s="55" t="s">
        <v>995</v>
      </c>
      <c r="E199" s="53">
        <v>59</v>
      </c>
      <c r="F199" s="56" t="s">
        <v>997</v>
      </c>
      <c r="G199" s="57" t="s">
        <v>78</v>
      </c>
      <c r="H199" s="58">
        <v>19500</v>
      </c>
      <c r="I199" s="59"/>
      <c r="J199" s="60" t="s">
        <v>2427</v>
      </c>
      <c r="K199" s="61"/>
      <c r="L199" s="62"/>
      <c r="M199" s="64"/>
      <c r="N199" s="65"/>
      <c r="O199" s="65"/>
      <c r="P199" s="65"/>
      <c r="Q199" s="65"/>
      <c r="R199" s="65"/>
      <c r="S199" s="65"/>
      <c r="T199" s="67"/>
      <c r="U199" s="67"/>
      <c r="V199" s="68" t="s">
        <v>2196</v>
      </c>
      <c r="W199" s="69" t="e">
        <v>#REF!</v>
      </c>
      <c r="X199" s="70"/>
      <c r="Y199" s="70"/>
      <c r="Z199" s="70"/>
      <c r="AA199" s="429"/>
      <c r="AB199" s="429"/>
      <c r="AC199" s="429"/>
      <c r="AD199" s="429"/>
      <c r="AE199" s="429"/>
      <c r="AF199" s="429"/>
      <c r="AG199" s="429"/>
      <c r="AH199" s="429"/>
      <c r="AI199" s="429"/>
      <c r="AJ199" s="429"/>
      <c r="AK199" s="429"/>
      <c r="AL199" s="429"/>
      <c r="AM199" s="429"/>
    </row>
    <row r="200" spans="1:39">
      <c r="A200" s="50"/>
      <c r="B200" s="52">
        <v>5130</v>
      </c>
      <c r="C200" s="53" t="s">
        <v>191</v>
      </c>
      <c r="D200" s="55" t="s">
        <v>998</v>
      </c>
      <c r="E200" s="53">
        <v>55</v>
      </c>
      <c r="F200" s="56" t="s">
        <v>999</v>
      </c>
      <c r="G200" s="57" t="s">
        <v>78</v>
      </c>
      <c r="H200" s="58">
        <v>13700</v>
      </c>
      <c r="I200" s="59"/>
      <c r="J200" s="60" t="s">
        <v>2427</v>
      </c>
      <c r="K200" s="623" t="s">
        <v>2427</v>
      </c>
      <c r="L200" s="62"/>
      <c r="M200" s="64"/>
      <c r="N200" s="65"/>
      <c r="O200" s="65"/>
      <c r="P200" s="65"/>
      <c r="Q200" s="65"/>
      <c r="R200" s="65"/>
      <c r="S200" s="65"/>
      <c r="T200" s="67">
        <v>10</v>
      </c>
      <c r="U200" s="67">
        <v>2563</v>
      </c>
      <c r="V200" s="68" t="s">
        <v>2196</v>
      </c>
      <c r="W200" s="69" t="e">
        <v>#REF!</v>
      </c>
      <c r="X200" s="70"/>
      <c r="Y200" s="70"/>
      <c r="Z200" s="70"/>
      <c r="AA200" s="429"/>
      <c r="AB200" s="429"/>
      <c r="AC200" s="429"/>
      <c r="AD200" s="429"/>
      <c r="AE200" s="429"/>
      <c r="AF200" s="429"/>
      <c r="AG200" s="429"/>
      <c r="AH200" s="429"/>
      <c r="AI200" s="429"/>
      <c r="AJ200" s="429"/>
      <c r="AK200" s="429"/>
      <c r="AL200" s="429"/>
      <c r="AM200" s="429"/>
    </row>
    <row r="201" spans="1:39">
      <c r="A201" s="50"/>
      <c r="B201" s="52">
        <v>5130</v>
      </c>
      <c r="C201" s="53" t="s">
        <v>157</v>
      </c>
      <c r="D201" s="55" t="s">
        <v>1000</v>
      </c>
      <c r="E201" s="53">
        <v>54</v>
      </c>
      <c r="F201" s="56" t="s">
        <v>1001</v>
      </c>
      <c r="G201" s="57" t="s">
        <v>78</v>
      </c>
      <c r="H201" s="58">
        <v>5500</v>
      </c>
      <c r="I201" s="59"/>
      <c r="J201" s="60" t="s">
        <v>2427</v>
      </c>
      <c r="K201" s="623" t="s">
        <v>2427</v>
      </c>
      <c r="L201" s="62"/>
      <c r="M201" s="64"/>
      <c r="N201" s="65"/>
      <c r="O201" s="65"/>
      <c r="P201" s="65"/>
      <c r="Q201" s="65"/>
      <c r="R201" s="65"/>
      <c r="S201" s="65"/>
      <c r="T201" s="67">
        <v>10</v>
      </c>
      <c r="U201" s="67">
        <v>2562</v>
      </c>
      <c r="V201" s="68" t="s">
        <v>2196</v>
      </c>
      <c r="W201" s="69" t="e">
        <v>#REF!</v>
      </c>
      <c r="X201" s="70"/>
      <c r="Y201" s="70"/>
      <c r="Z201" s="70"/>
      <c r="AA201" s="429"/>
      <c r="AB201" s="429"/>
      <c r="AC201" s="429"/>
      <c r="AD201" s="429"/>
      <c r="AE201" s="429"/>
      <c r="AF201" s="429"/>
      <c r="AG201" s="429"/>
      <c r="AH201" s="429"/>
      <c r="AI201" s="429"/>
      <c r="AJ201" s="429"/>
      <c r="AK201" s="429"/>
      <c r="AL201" s="429"/>
      <c r="AM201" s="429"/>
    </row>
    <row r="202" spans="1:39">
      <c r="A202" s="50"/>
      <c r="B202" s="52">
        <v>5130</v>
      </c>
      <c r="C202" s="53" t="s">
        <v>191</v>
      </c>
      <c r="D202" s="55" t="s">
        <v>1002</v>
      </c>
      <c r="E202" s="53">
        <v>58</v>
      </c>
      <c r="F202" s="56" t="s">
        <v>1003</v>
      </c>
      <c r="G202" s="57" t="s">
        <v>78</v>
      </c>
      <c r="H202" s="58">
        <v>6300</v>
      </c>
      <c r="I202" s="59"/>
      <c r="J202" s="60" t="s">
        <v>2427</v>
      </c>
      <c r="K202" s="623" t="s">
        <v>2427</v>
      </c>
      <c r="L202" s="62"/>
      <c r="M202" s="64"/>
      <c r="N202" s="65"/>
      <c r="O202" s="65"/>
      <c r="P202" s="65"/>
      <c r="Q202" s="65"/>
      <c r="R202" s="65"/>
      <c r="S202" s="65"/>
      <c r="T202" s="67"/>
      <c r="U202" s="67">
        <v>2556</v>
      </c>
      <c r="V202" s="68" t="s">
        <v>2196</v>
      </c>
      <c r="W202" s="69" t="e">
        <v>#REF!</v>
      </c>
      <c r="X202" s="70"/>
      <c r="Y202" s="70"/>
      <c r="Z202" s="70"/>
      <c r="AA202" s="429"/>
      <c r="AB202" s="429"/>
      <c r="AC202" s="429"/>
      <c r="AD202" s="429"/>
      <c r="AE202" s="429"/>
      <c r="AF202" s="429"/>
      <c r="AG202" s="429"/>
      <c r="AH202" s="429"/>
      <c r="AI202" s="429"/>
      <c r="AJ202" s="429"/>
      <c r="AK202" s="429"/>
      <c r="AL202" s="429"/>
      <c r="AM202" s="429"/>
    </row>
    <row r="203" spans="1:39">
      <c r="A203" s="50"/>
      <c r="B203" s="52">
        <v>5130</v>
      </c>
      <c r="C203" s="53" t="s">
        <v>191</v>
      </c>
      <c r="D203" s="55" t="s">
        <v>1004</v>
      </c>
      <c r="E203" s="53">
        <v>55</v>
      </c>
      <c r="F203" s="56" t="s">
        <v>1005</v>
      </c>
      <c r="G203" s="57" t="s">
        <v>78</v>
      </c>
      <c r="H203" s="58">
        <v>21200</v>
      </c>
      <c r="I203" s="59"/>
      <c r="J203" s="60" t="s">
        <v>2427</v>
      </c>
      <c r="K203" s="623" t="s">
        <v>2427</v>
      </c>
      <c r="L203" s="62"/>
      <c r="M203" s="64"/>
      <c r="N203" s="65"/>
      <c r="O203" s="65"/>
      <c r="P203" s="65"/>
      <c r="Q203" s="65"/>
      <c r="R203" s="65"/>
      <c r="S203" s="65"/>
      <c r="T203" s="67">
        <v>10</v>
      </c>
      <c r="U203" s="67">
        <v>2563</v>
      </c>
      <c r="V203" s="68" t="s">
        <v>2196</v>
      </c>
      <c r="W203" s="69" t="e">
        <v>#REF!</v>
      </c>
      <c r="X203" s="70"/>
      <c r="Y203" s="70"/>
      <c r="Z203" s="70"/>
      <c r="AA203" s="429"/>
      <c r="AB203" s="429"/>
      <c r="AC203" s="429"/>
      <c r="AD203" s="429"/>
      <c r="AE203" s="429"/>
      <c r="AF203" s="429"/>
      <c r="AG203" s="429"/>
      <c r="AH203" s="429"/>
      <c r="AI203" s="429"/>
      <c r="AJ203" s="429"/>
      <c r="AK203" s="429"/>
      <c r="AL203" s="429"/>
      <c r="AM203" s="429"/>
    </row>
    <row r="204" spans="1:39">
      <c r="A204" s="50"/>
      <c r="B204" s="52">
        <v>5130</v>
      </c>
      <c r="C204" s="53" t="s">
        <v>191</v>
      </c>
      <c r="D204" s="55" t="s">
        <v>1006</v>
      </c>
      <c r="E204" s="53">
        <v>57</v>
      </c>
      <c r="F204" s="56" t="s">
        <v>1007</v>
      </c>
      <c r="G204" s="57" t="s">
        <v>78</v>
      </c>
      <c r="H204" s="58">
        <v>17500</v>
      </c>
      <c r="I204" s="59"/>
      <c r="J204" s="60" t="s">
        <v>2427</v>
      </c>
      <c r="K204" s="623" t="s">
        <v>2427</v>
      </c>
      <c r="L204" s="62"/>
      <c r="M204" s="64"/>
      <c r="N204" s="65"/>
      <c r="O204" s="65"/>
      <c r="P204" s="65"/>
      <c r="Q204" s="65"/>
      <c r="R204" s="65"/>
      <c r="S204" s="65"/>
      <c r="T204" s="67">
        <v>10</v>
      </c>
      <c r="U204" s="67">
        <v>2565</v>
      </c>
      <c r="V204" s="68" t="s">
        <v>2196</v>
      </c>
      <c r="W204" s="69" t="e">
        <v>#REF!</v>
      </c>
      <c r="X204" s="70"/>
      <c r="Y204" s="70"/>
      <c r="Z204" s="70"/>
      <c r="AA204" s="429"/>
      <c r="AB204" s="429"/>
      <c r="AC204" s="429"/>
      <c r="AD204" s="429"/>
      <c r="AE204" s="429"/>
      <c r="AF204" s="429"/>
      <c r="AG204" s="429"/>
      <c r="AH204" s="429"/>
      <c r="AI204" s="429"/>
      <c r="AJ204" s="429"/>
      <c r="AK204" s="429"/>
      <c r="AL204" s="429"/>
      <c r="AM204" s="429"/>
    </row>
    <row r="205" spans="1:39">
      <c r="A205" s="50"/>
      <c r="B205" s="52">
        <v>5130</v>
      </c>
      <c r="C205" s="53" t="s">
        <v>191</v>
      </c>
      <c r="D205" s="55" t="s">
        <v>1008</v>
      </c>
      <c r="E205" s="53">
        <v>55</v>
      </c>
      <c r="F205" s="56" t="s">
        <v>1009</v>
      </c>
      <c r="G205" s="57" t="s">
        <v>78</v>
      </c>
      <c r="H205" s="58">
        <v>4500</v>
      </c>
      <c r="I205" s="59"/>
      <c r="J205" s="60" t="s">
        <v>2427</v>
      </c>
      <c r="K205" s="623" t="s">
        <v>2427</v>
      </c>
      <c r="L205" s="62"/>
      <c r="M205" s="64"/>
      <c r="N205" s="65"/>
      <c r="O205" s="65"/>
      <c r="P205" s="65"/>
      <c r="Q205" s="65"/>
      <c r="R205" s="65"/>
      <c r="S205" s="65"/>
      <c r="T205" s="67">
        <v>10</v>
      </c>
      <c r="U205" s="67">
        <v>2563</v>
      </c>
      <c r="V205" s="68" t="s">
        <v>2196</v>
      </c>
      <c r="W205" s="69" t="e">
        <v>#REF!</v>
      </c>
      <c r="X205" s="70"/>
      <c r="Y205" s="70"/>
      <c r="Z205" s="70"/>
      <c r="AA205" s="429"/>
      <c r="AB205" s="429"/>
      <c r="AC205" s="429"/>
      <c r="AD205" s="429"/>
      <c r="AE205" s="429"/>
      <c r="AF205" s="429"/>
      <c r="AG205" s="429"/>
      <c r="AH205" s="429"/>
      <c r="AI205" s="429"/>
      <c r="AJ205" s="429"/>
      <c r="AK205" s="429"/>
      <c r="AL205" s="429"/>
      <c r="AM205" s="429"/>
    </row>
    <row r="206" spans="1:39">
      <c r="A206" s="50"/>
      <c r="B206" s="52">
        <v>5130</v>
      </c>
      <c r="C206" s="53" t="s">
        <v>256</v>
      </c>
      <c r="D206" s="55" t="s">
        <v>1010</v>
      </c>
      <c r="E206" s="53">
        <v>53</v>
      </c>
      <c r="F206" s="56" t="s">
        <v>1011</v>
      </c>
      <c r="G206" s="57" t="s">
        <v>78</v>
      </c>
      <c r="H206" s="58">
        <v>9000</v>
      </c>
      <c r="I206" s="59"/>
      <c r="J206" s="60" t="s">
        <v>2427</v>
      </c>
      <c r="K206" s="623" t="s">
        <v>2427</v>
      </c>
      <c r="L206" s="62"/>
      <c r="M206" s="64"/>
      <c r="N206" s="65"/>
      <c r="O206" s="65"/>
      <c r="P206" s="65"/>
      <c r="Q206" s="65"/>
      <c r="R206" s="65"/>
      <c r="S206" s="65"/>
      <c r="T206" s="67">
        <v>10</v>
      </c>
      <c r="U206" s="67">
        <v>2561</v>
      </c>
      <c r="V206" s="68" t="s">
        <v>2196</v>
      </c>
      <c r="W206" s="69" t="e">
        <v>#REF!</v>
      </c>
      <c r="X206" s="70"/>
      <c r="Y206" s="70"/>
      <c r="Z206" s="70"/>
      <c r="AA206" s="429"/>
      <c r="AB206" s="429"/>
      <c r="AC206" s="429"/>
      <c r="AD206" s="429"/>
      <c r="AE206" s="429"/>
      <c r="AF206" s="429"/>
      <c r="AG206" s="429"/>
      <c r="AH206" s="429"/>
      <c r="AI206" s="429"/>
      <c r="AJ206" s="429"/>
      <c r="AK206" s="429"/>
      <c r="AL206" s="429"/>
      <c r="AM206" s="429"/>
    </row>
    <row r="207" spans="1:39">
      <c r="A207" s="50"/>
      <c r="B207" s="52">
        <v>5130</v>
      </c>
      <c r="C207" s="53" t="s">
        <v>191</v>
      </c>
      <c r="D207" s="55" t="s">
        <v>1012</v>
      </c>
      <c r="E207" s="53">
        <v>53</v>
      </c>
      <c r="F207" s="56" t="s">
        <v>1013</v>
      </c>
      <c r="G207" s="57" t="s">
        <v>78</v>
      </c>
      <c r="H207" s="58">
        <v>5600</v>
      </c>
      <c r="I207" s="59"/>
      <c r="J207" s="60" t="s">
        <v>2427</v>
      </c>
      <c r="K207" s="623" t="s">
        <v>2427</v>
      </c>
      <c r="L207" s="62"/>
      <c r="M207" s="64"/>
      <c r="N207" s="65"/>
      <c r="O207" s="65"/>
      <c r="P207" s="65"/>
      <c r="Q207" s="65"/>
      <c r="R207" s="65"/>
      <c r="S207" s="65"/>
      <c r="T207" s="67">
        <v>10</v>
      </c>
      <c r="U207" s="67">
        <v>2561</v>
      </c>
      <c r="V207" s="68" t="s">
        <v>2196</v>
      </c>
      <c r="W207" s="69" t="e">
        <v>#REF!</v>
      </c>
      <c r="X207" s="70"/>
      <c r="Y207" s="70"/>
      <c r="Z207" s="70"/>
      <c r="AA207" s="429"/>
      <c r="AB207" s="429"/>
      <c r="AC207" s="429"/>
      <c r="AD207" s="429"/>
      <c r="AE207" s="429"/>
      <c r="AF207" s="429"/>
      <c r="AG207" s="429"/>
      <c r="AH207" s="429"/>
      <c r="AI207" s="429"/>
      <c r="AJ207" s="429"/>
      <c r="AK207" s="429"/>
      <c r="AL207" s="429"/>
      <c r="AM207" s="429"/>
    </row>
    <row r="208" spans="1:39">
      <c r="A208" s="50"/>
      <c r="B208" s="52">
        <v>5130</v>
      </c>
      <c r="C208" s="53" t="s">
        <v>191</v>
      </c>
      <c r="D208" s="55" t="s">
        <v>1014</v>
      </c>
      <c r="E208" s="53">
        <v>53</v>
      </c>
      <c r="F208" s="56" t="s">
        <v>1015</v>
      </c>
      <c r="G208" s="57" t="s">
        <v>78</v>
      </c>
      <c r="H208" s="58">
        <v>6900</v>
      </c>
      <c r="I208" s="59"/>
      <c r="J208" s="60" t="s">
        <v>2427</v>
      </c>
      <c r="K208" s="623" t="s">
        <v>2427</v>
      </c>
      <c r="L208" s="62"/>
      <c r="M208" s="64"/>
      <c r="N208" s="65"/>
      <c r="O208" s="65"/>
      <c r="P208" s="65"/>
      <c r="Q208" s="65"/>
      <c r="R208" s="65"/>
      <c r="S208" s="65"/>
      <c r="T208" s="67">
        <v>10</v>
      </c>
      <c r="U208" s="67">
        <v>2561</v>
      </c>
      <c r="V208" s="68" t="s">
        <v>2196</v>
      </c>
      <c r="W208" s="69" t="e">
        <v>#REF!</v>
      </c>
      <c r="X208" s="70"/>
      <c r="Y208" s="70"/>
      <c r="Z208" s="70"/>
      <c r="AA208" s="429"/>
      <c r="AB208" s="429"/>
      <c r="AC208" s="429"/>
      <c r="AD208" s="429"/>
      <c r="AE208" s="429"/>
      <c r="AF208" s="429"/>
      <c r="AG208" s="429"/>
      <c r="AH208" s="429"/>
      <c r="AI208" s="429"/>
      <c r="AJ208" s="429"/>
      <c r="AK208" s="429"/>
      <c r="AL208" s="429"/>
      <c r="AM208" s="429"/>
    </row>
    <row r="209" spans="1:39">
      <c r="A209" s="50"/>
      <c r="B209" s="52">
        <v>5130</v>
      </c>
      <c r="C209" s="53" t="s">
        <v>191</v>
      </c>
      <c r="D209" s="55" t="s">
        <v>1016</v>
      </c>
      <c r="E209" s="53">
        <v>55</v>
      </c>
      <c r="F209" s="56" t="s">
        <v>1017</v>
      </c>
      <c r="G209" s="57" t="s">
        <v>78</v>
      </c>
      <c r="H209" s="58">
        <v>6500</v>
      </c>
      <c r="I209" s="59"/>
      <c r="J209" s="60" t="s">
        <v>2427</v>
      </c>
      <c r="K209" s="623" t="s">
        <v>2427</v>
      </c>
      <c r="L209" s="62"/>
      <c r="M209" s="64"/>
      <c r="N209" s="65"/>
      <c r="O209" s="65"/>
      <c r="P209" s="65"/>
      <c r="Q209" s="65"/>
      <c r="R209" s="65"/>
      <c r="S209" s="65"/>
      <c r="T209" s="67">
        <v>10</v>
      </c>
      <c r="U209" s="67">
        <v>2563</v>
      </c>
      <c r="V209" s="68" t="s">
        <v>2196</v>
      </c>
      <c r="W209" s="69" t="e">
        <v>#REF!</v>
      </c>
      <c r="X209" s="70"/>
      <c r="Y209" s="70"/>
      <c r="Z209" s="70"/>
      <c r="AA209" s="429"/>
      <c r="AB209" s="429"/>
      <c r="AC209" s="429"/>
      <c r="AD209" s="429"/>
      <c r="AE209" s="429"/>
      <c r="AF209" s="429"/>
      <c r="AG209" s="429"/>
      <c r="AH209" s="429"/>
      <c r="AI209" s="429"/>
      <c r="AJ209" s="429"/>
      <c r="AK209" s="429"/>
      <c r="AL209" s="429"/>
      <c r="AM209" s="429"/>
    </row>
    <row r="210" spans="1:39">
      <c r="A210" s="50"/>
      <c r="B210" s="52">
        <v>5130</v>
      </c>
      <c r="C210" s="53" t="s">
        <v>191</v>
      </c>
      <c r="D210" s="55" t="s">
        <v>1018</v>
      </c>
      <c r="E210" s="53">
        <v>55</v>
      </c>
      <c r="F210" s="56" t="s">
        <v>1019</v>
      </c>
      <c r="G210" s="57" t="s">
        <v>78</v>
      </c>
      <c r="H210" s="58">
        <v>10800</v>
      </c>
      <c r="I210" s="59"/>
      <c r="J210" s="60" t="s">
        <v>2427</v>
      </c>
      <c r="K210" s="623" t="s">
        <v>2427</v>
      </c>
      <c r="L210" s="62"/>
      <c r="M210" s="64"/>
      <c r="N210" s="65"/>
      <c r="O210" s="65"/>
      <c r="P210" s="65"/>
      <c r="Q210" s="65"/>
      <c r="R210" s="65"/>
      <c r="S210" s="65"/>
      <c r="T210" s="67">
        <v>10</v>
      </c>
      <c r="U210" s="67">
        <v>2563</v>
      </c>
      <c r="V210" s="68" t="s">
        <v>2196</v>
      </c>
      <c r="W210" s="69" t="e">
        <v>#REF!</v>
      </c>
      <c r="X210" s="70"/>
      <c r="Y210" s="70"/>
      <c r="Z210" s="70"/>
      <c r="AA210" s="429"/>
      <c r="AB210" s="429"/>
      <c r="AC210" s="429"/>
      <c r="AD210" s="429"/>
      <c r="AE210" s="429"/>
      <c r="AF210" s="429"/>
      <c r="AG210" s="429"/>
      <c r="AH210" s="429"/>
      <c r="AI210" s="429"/>
      <c r="AJ210" s="429"/>
      <c r="AK210" s="429"/>
      <c r="AL210" s="429"/>
      <c r="AM210" s="429"/>
    </row>
    <row r="211" spans="1:39">
      <c r="A211" s="50"/>
      <c r="B211" s="52">
        <v>5130</v>
      </c>
      <c r="C211" s="53" t="s">
        <v>191</v>
      </c>
      <c r="D211" s="55" t="s">
        <v>1020</v>
      </c>
      <c r="E211" s="53">
        <v>53</v>
      </c>
      <c r="F211" s="56" t="s">
        <v>1021</v>
      </c>
      <c r="G211" s="57" t="s">
        <v>78</v>
      </c>
      <c r="H211" s="58">
        <v>11500</v>
      </c>
      <c r="I211" s="59"/>
      <c r="J211" s="60" t="s">
        <v>2427</v>
      </c>
      <c r="K211" s="623" t="s">
        <v>2427</v>
      </c>
      <c r="L211" s="62"/>
      <c r="M211" s="64"/>
      <c r="N211" s="65"/>
      <c r="O211" s="65"/>
      <c r="P211" s="65"/>
      <c r="Q211" s="65"/>
      <c r="R211" s="65"/>
      <c r="S211" s="65"/>
      <c r="T211" s="67">
        <v>10</v>
      </c>
      <c r="U211" s="67">
        <v>2561</v>
      </c>
      <c r="V211" s="68" t="s">
        <v>2196</v>
      </c>
      <c r="W211" s="69" t="e">
        <v>#REF!</v>
      </c>
      <c r="X211" s="70"/>
      <c r="Y211" s="70"/>
      <c r="Z211" s="70"/>
      <c r="AA211" s="429"/>
      <c r="AB211" s="429"/>
      <c r="AC211" s="429"/>
      <c r="AD211" s="429"/>
      <c r="AE211" s="429"/>
      <c r="AF211" s="429"/>
      <c r="AG211" s="429"/>
      <c r="AH211" s="429"/>
      <c r="AI211" s="429"/>
      <c r="AJ211" s="429"/>
      <c r="AK211" s="429"/>
      <c r="AL211" s="429"/>
      <c r="AM211" s="429"/>
    </row>
    <row r="212" spans="1:39">
      <c r="A212" s="50"/>
      <c r="B212" s="52">
        <v>5130</v>
      </c>
      <c r="C212" s="53" t="s">
        <v>191</v>
      </c>
      <c r="D212" s="55" t="s">
        <v>1022</v>
      </c>
      <c r="E212" s="53">
        <v>52</v>
      </c>
      <c r="F212" s="56" t="s">
        <v>1023</v>
      </c>
      <c r="G212" s="57" t="s">
        <v>78</v>
      </c>
      <c r="H212" s="58">
        <v>12500</v>
      </c>
      <c r="I212" s="59"/>
      <c r="J212" s="60" t="s">
        <v>2427</v>
      </c>
      <c r="K212" s="623" t="s">
        <v>2427</v>
      </c>
      <c r="L212" s="62"/>
      <c r="M212" s="64"/>
      <c r="N212" s="65"/>
      <c r="O212" s="65"/>
      <c r="P212" s="65"/>
      <c r="Q212" s="65"/>
      <c r="R212" s="65"/>
      <c r="S212" s="65"/>
      <c r="T212" s="67">
        <v>10</v>
      </c>
      <c r="U212" s="67">
        <v>2560</v>
      </c>
      <c r="V212" s="68" t="s">
        <v>2196</v>
      </c>
      <c r="W212" s="69" t="e">
        <v>#REF!</v>
      </c>
      <c r="X212" s="70"/>
      <c r="Y212" s="70"/>
      <c r="Z212" s="70"/>
      <c r="AA212" s="429"/>
      <c r="AB212" s="429"/>
      <c r="AC212" s="429"/>
      <c r="AD212" s="429"/>
      <c r="AE212" s="429"/>
      <c r="AF212" s="429"/>
      <c r="AG212" s="429"/>
      <c r="AH212" s="429"/>
      <c r="AI212" s="429"/>
      <c r="AJ212" s="429"/>
      <c r="AK212" s="429"/>
      <c r="AL212" s="429"/>
      <c r="AM212" s="429"/>
    </row>
    <row r="213" spans="1:39">
      <c r="A213" s="50"/>
      <c r="B213" s="52">
        <v>5180</v>
      </c>
      <c r="C213" s="53" t="s">
        <v>157</v>
      </c>
      <c r="D213" s="55" t="s">
        <v>1026</v>
      </c>
      <c r="E213" s="53">
        <v>54</v>
      </c>
      <c r="F213" s="56" t="s">
        <v>1027</v>
      </c>
      <c r="G213" s="57" t="s">
        <v>53</v>
      </c>
      <c r="H213" s="58">
        <v>28000</v>
      </c>
      <c r="I213" s="59"/>
      <c r="J213" s="60" t="s">
        <v>2431</v>
      </c>
      <c r="K213" s="623" t="s">
        <v>2431</v>
      </c>
      <c r="L213" s="62"/>
      <c r="M213" s="64"/>
      <c r="N213" s="65"/>
      <c r="O213" s="65"/>
      <c r="P213" s="65"/>
      <c r="Q213" s="65"/>
      <c r="R213" s="65"/>
      <c r="S213" s="65"/>
      <c r="T213" s="67">
        <v>10</v>
      </c>
      <c r="U213" s="67">
        <v>2562</v>
      </c>
      <c r="V213" s="68" t="s">
        <v>2196</v>
      </c>
      <c r="W213" s="69" t="e">
        <v>#REF!</v>
      </c>
      <c r="X213" s="70"/>
      <c r="Y213" s="70"/>
      <c r="Z213" s="70"/>
      <c r="AA213" s="429"/>
      <c r="AB213" s="429"/>
      <c r="AC213" s="429"/>
      <c r="AD213" s="429"/>
      <c r="AE213" s="429"/>
      <c r="AF213" s="429"/>
      <c r="AG213" s="429"/>
      <c r="AH213" s="429"/>
      <c r="AI213" s="429"/>
      <c r="AJ213" s="429"/>
      <c r="AK213" s="429"/>
      <c r="AL213" s="429"/>
      <c r="AM213" s="429"/>
    </row>
    <row r="214" spans="1:39">
      <c r="A214" s="629"/>
      <c r="B214" s="629">
        <v>5200</v>
      </c>
      <c r="C214" s="625"/>
      <c r="D214" s="632" t="s">
        <v>4092</v>
      </c>
      <c r="E214" s="37"/>
      <c r="F214" s="37"/>
      <c r="G214" s="629"/>
      <c r="H214" s="629"/>
      <c r="I214" s="625"/>
      <c r="J214" s="625"/>
      <c r="K214" s="629"/>
      <c r="L214" s="37"/>
      <c r="M214" s="37"/>
      <c r="N214" s="629"/>
      <c r="O214" s="629"/>
      <c r="P214" s="625"/>
      <c r="Q214" s="625"/>
      <c r="R214" s="625"/>
      <c r="S214" s="37"/>
      <c r="T214" s="37"/>
      <c r="U214" s="629"/>
      <c r="V214" s="37" t="s">
        <v>2198</v>
      </c>
      <c r="W214" s="37">
        <v>0</v>
      </c>
      <c r="X214" s="625"/>
      <c r="Y214" s="625"/>
      <c r="Z214" s="37"/>
      <c r="AA214" s="426"/>
      <c r="AB214" s="426"/>
      <c r="AC214" s="426"/>
      <c r="AD214" s="426"/>
      <c r="AE214" s="426"/>
      <c r="AF214" s="426"/>
      <c r="AG214" s="426"/>
      <c r="AH214" s="426"/>
      <c r="AI214" s="426"/>
      <c r="AJ214" s="426"/>
      <c r="AK214" s="426"/>
      <c r="AL214" s="426"/>
      <c r="AM214" s="426"/>
    </row>
    <row r="215" spans="1:39">
      <c r="A215" s="629"/>
      <c r="B215" s="629">
        <v>5300</v>
      </c>
      <c r="C215" s="625"/>
      <c r="D215" s="633" t="s">
        <v>4093</v>
      </c>
      <c r="E215" s="37"/>
      <c r="F215" s="629"/>
      <c r="G215" s="629"/>
      <c r="H215" s="629"/>
      <c r="I215" s="625"/>
      <c r="J215" s="625"/>
      <c r="K215" s="37"/>
      <c r="L215" s="37"/>
      <c r="M215" s="629"/>
      <c r="N215" s="629"/>
      <c r="O215" s="629"/>
      <c r="P215" s="625"/>
      <c r="Q215" s="625"/>
      <c r="R215" s="37"/>
      <c r="S215" s="37"/>
      <c r="T215" s="629"/>
      <c r="U215" s="629"/>
      <c r="V215" s="37" t="s">
        <v>2200</v>
      </c>
      <c r="W215" s="37">
        <v>2</v>
      </c>
      <c r="X215" s="625"/>
      <c r="Y215" s="37"/>
      <c r="Z215" s="37"/>
      <c r="AA215" s="426"/>
      <c r="AB215" s="426"/>
      <c r="AC215" s="426"/>
      <c r="AD215" s="426"/>
      <c r="AE215" s="426"/>
      <c r="AF215" s="426"/>
      <c r="AG215" s="426"/>
      <c r="AH215" s="426"/>
      <c r="AI215" s="426"/>
      <c r="AJ215" s="426"/>
      <c r="AK215" s="426"/>
      <c r="AL215" s="426"/>
      <c r="AM215" s="426"/>
    </row>
    <row r="216" spans="1:39">
      <c r="A216" s="50"/>
      <c r="B216" s="52">
        <v>5345</v>
      </c>
      <c r="C216" s="53" t="s">
        <v>157</v>
      </c>
      <c r="D216" s="55" t="s">
        <v>1028</v>
      </c>
      <c r="E216" s="53">
        <v>52</v>
      </c>
      <c r="F216" s="56" t="s">
        <v>1029</v>
      </c>
      <c r="G216" s="57" t="s">
        <v>48</v>
      </c>
      <c r="H216" s="58">
        <v>6500</v>
      </c>
      <c r="I216" s="59"/>
      <c r="J216" s="60" t="s">
        <v>2436</v>
      </c>
      <c r="K216" s="623" t="s">
        <v>2436</v>
      </c>
      <c r="L216" s="62"/>
      <c r="M216" s="64"/>
      <c r="N216" s="65"/>
      <c r="O216" s="65"/>
      <c r="P216" s="65"/>
      <c r="Q216" s="65"/>
      <c r="R216" s="65"/>
      <c r="S216" s="65"/>
      <c r="T216" s="67">
        <v>15</v>
      </c>
      <c r="U216" s="67">
        <v>2565</v>
      </c>
      <c r="V216" s="68" t="s">
        <v>2200</v>
      </c>
      <c r="W216" s="69" t="e">
        <v>#REF!</v>
      </c>
      <c r="X216" s="70"/>
      <c r="Y216" s="70"/>
      <c r="Z216" s="70"/>
      <c r="AA216" s="429"/>
      <c r="AB216" s="429"/>
      <c r="AC216" s="429"/>
      <c r="AD216" s="429"/>
      <c r="AE216" s="429"/>
      <c r="AF216" s="429"/>
      <c r="AG216" s="429"/>
      <c r="AH216" s="429"/>
      <c r="AI216" s="429"/>
      <c r="AJ216" s="429"/>
      <c r="AK216" s="429"/>
      <c r="AL216" s="429"/>
      <c r="AM216" s="429"/>
    </row>
    <row r="217" spans="1:39">
      <c r="A217" s="50"/>
      <c r="B217" s="52">
        <v>5345</v>
      </c>
      <c r="C217" s="53" t="s">
        <v>157</v>
      </c>
      <c r="D217" s="55" t="s">
        <v>1030</v>
      </c>
      <c r="E217" s="53">
        <v>53</v>
      </c>
      <c r="F217" s="56" t="s">
        <v>1031</v>
      </c>
      <c r="G217" s="57" t="s">
        <v>48</v>
      </c>
      <c r="H217" s="58">
        <v>8500</v>
      </c>
      <c r="I217" s="59"/>
      <c r="J217" s="60" t="s">
        <v>2436</v>
      </c>
      <c r="K217" s="623" t="s">
        <v>2436</v>
      </c>
      <c r="L217" s="62"/>
      <c r="M217" s="64"/>
      <c r="N217" s="65"/>
      <c r="O217" s="65"/>
      <c r="P217" s="65"/>
      <c r="Q217" s="65"/>
      <c r="R217" s="65"/>
      <c r="S217" s="65"/>
      <c r="T217" s="67">
        <v>15</v>
      </c>
      <c r="U217" s="67">
        <v>2566</v>
      </c>
      <c r="V217" s="68" t="s">
        <v>2200</v>
      </c>
      <c r="W217" s="69" t="e">
        <v>#REF!</v>
      </c>
      <c r="X217" s="70"/>
      <c r="Y217" s="70"/>
      <c r="Z217" s="70"/>
      <c r="AA217" s="429"/>
      <c r="AB217" s="429"/>
      <c r="AC217" s="429"/>
      <c r="AD217" s="429"/>
      <c r="AE217" s="429"/>
      <c r="AF217" s="429"/>
      <c r="AG217" s="429"/>
      <c r="AH217" s="429"/>
      <c r="AI217" s="429"/>
      <c r="AJ217" s="429"/>
      <c r="AK217" s="429"/>
      <c r="AL217" s="429"/>
      <c r="AM217" s="429"/>
    </row>
    <row r="218" spans="1:39">
      <c r="A218" s="629"/>
      <c r="B218" s="629">
        <v>5400</v>
      </c>
      <c r="C218" s="625"/>
      <c r="D218" s="633" t="s">
        <v>4094</v>
      </c>
      <c r="E218" s="37"/>
      <c r="F218" s="629"/>
      <c r="G218" s="629"/>
      <c r="H218" s="629"/>
      <c r="I218" s="625"/>
      <c r="J218" s="625"/>
      <c r="K218" s="37"/>
      <c r="L218" s="37"/>
      <c r="M218" s="629"/>
      <c r="N218" s="629"/>
      <c r="O218" s="629"/>
      <c r="P218" s="625"/>
      <c r="Q218" s="625"/>
      <c r="R218" s="37"/>
      <c r="S218" s="37"/>
      <c r="T218" s="629"/>
      <c r="U218" s="629"/>
      <c r="V218" s="37" t="s">
        <v>2202</v>
      </c>
      <c r="W218" s="37">
        <v>2</v>
      </c>
      <c r="X218" s="625"/>
      <c r="Y218" s="37"/>
      <c r="Z218" s="37"/>
      <c r="AA218" s="426"/>
      <c r="AB218" s="426"/>
      <c r="AC218" s="426"/>
      <c r="AD218" s="426"/>
      <c r="AE218" s="426"/>
      <c r="AF218" s="426"/>
      <c r="AG218" s="426"/>
      <c r="AH218" s="426"/>
      <c r="AI218" s="426"/>
      <c r="AJ218" s="426"/>
      <c r="AK218" s="426"/>
      <c r="AL218" s="426"/>
      <c r="AM218" s="426"/>
    </row>
    <row r="219" spans="1:39">
      <c r="A219" s="50"/>
      <c r="B219" s="52">
        <v>5410</v>
      </c>
      <c r="C219" s="53" t="s">
        <v>191</v>
      </c>
      <c r="D219" s="55" t="s">
        <v>1032</v>
      </c>
      <c r="E219" s="53">
        <v>54</v>
      </c>
      <c r="F219" s="56" t="s">
        <v>1033</v>
      </c>
      <c r="G219" s="57" t="s">
        <v>358</v>
      </c>
      <c r="H219" s="58">
        <v>190000</v>
      </c>
      <c r="I219" s="59"/>
      <c r="J219" s="60" t="s">
        <v>2439</v>
      </c>
      <c r="K219" s="623" t="s">
        <v>2439</v>
      </c>
      <c r="L219" s="62"/>
      <c r="M219" s="64"/>
      <c r="N219" s="65"/>
      <c r="O219" s="65"/>
      <c r="P219" s="65"/>
      <c r="Q219" s="65"/>
      <c r="R219" s="65"/>
      <c r="S219" s="65"/>
      <c r="T219" s="67">
        <v>20</v>
      </c>
      <c r="U219" s="67">
        <v>2572</v>
      </c>
      <c r="V219" s="68" t="s">
        <v>2202</v>
      </c>
      <c r="W219" s="69" t="e">
        <v>#REF!</v>
      </c>
      <c r="X219" s="70"/>
      <c r="Y219" s="70"/>
      <c r="Z219" s="70"/>
      <c r="AA219" s="429"/>
      <c r="AB219" s="429"/>
      <c r="AC219" s="429"/>
      <c r="AD219" s="429"/>
      <c r="AE219" s="429"/>
      <c r="AF219" s="429"/>
      <c r="AG219" s="429"/>
      <c r="AH219" s="429"/>
      <c r="AI219" s="429"/>
      <c r="AJ219" s="429"/>
      <c r="AK219" s="429"/>
      <c r="AL219" s="429"/>
      <c r="AM219" s="429"/>
    </row>
    <row r="220" spans="1:39">
      <c r="A220" s="50"/>
      <c r="B220" s="52">
        <v>5430</v>
      </c>
      <c r="C220" s="53" t="s">
        <v>256</v>
      </c>
      <c r="D220" s="55" t="s">
        <v>1036</v>
      </c>
      <c r="E220" s="53">
        <v>59</v>
      </c>
      <c r="F220" s="56" t="s">
        <v>1037</v>
      </c>
      <c r="G220" s="57" t="s">
        <v>433</v>
      </c>
      <c r="H220" s="58">
        <v>17000</v>
      </c>
      <c r="I220" s="59">
        <v>42653</v>
      </c>
      <c r="J220" s="60" t="s">
        <v>2442</v>
      </c>
      <c r="K220" s="61"/>
      <c r="L220" s="62"/>
      <c r="M220" s="64"/>
      <c r="N220" s="65"/>
      <c r="O220" s="65"/>
      <c r="P220" s="65"/>
      <c r="Q220" s="65"/>
      <c r="R220" s="65"/>
      <c r="S220" s="65"/>
      <c r="T220" s="67"/>
      <c r="U220" s="67">
        <v>2557</v>
      </c>
      <c r="V220" s="68" t="s">
        <v>2202</v>
      </c>
      <c r="W220" s="69" t="e">
        <v>#REF!</v>
      </c>
      <c r="X220" s="70"/>
      <c r="Y220" s="70"/>
      <c r="Z220" s="70"/>
      <c r="AA220" s="429"/>
      <c r="AB220" s="429"/>
      <c r="AC220" s="429"/>
      <c r="AD220" s="429"/>
      <c r="AE220" s="429"/>
      <c r="AF220" s="429"/>
      <c r="AG220" s="429"/>
      <c r="AH220" s="429"/>
      <c r="AI220" s="429"/>
      <c r="AJ220" s="429"/>
      <c r="AK220" s="429"/>
      <c r="AL220" s="429"/>
      <c r="AM220" s="429"/>
    </row>
    <row r="221" spans="1:39">
      <c r="A221" s="629"/>
      <c r="B221" s="629">
        <v>5600</v>
      </c>
      <c r="C221" s="625"/>
      <c r="D221" s="633" t="s">
        <v>4095</v>
      </c>
      <c r="E221" s="37"/>
      <c r="F221" s="629"/>
      <c r="G221" s="629"/>
      <c r="H221" s="629"/>
      <c r="I221" s="625"/>
      <c r="J221" s="625"/>
      <c r="K221" s="37"/>
      <c r="L221" s="37"/>
      <c r="M221" s="629"/>
      <c r="N221" s="629"/>
      <c r="O221" s="629"/>
      <c r="P221" s="625"/>
      <c r="Q221" s="625"/>
      <c r="R221" s="37"/>
      <c r="S221" s="37"/>
      <c r="T221" s="629"/>
      <c r="U221" s="629"/>
      <c r="V221" s="37" t="s">
        <v>2206</v>
      </c>
      <c r="W221" s="37">
        <v>0</v>
      </c>
      <c r="X221" s="625"/>
      <c r="Y221" s="37"/>
      <c r="Z221" s="37"/>
      <c r="AA221" s="426"/>
      <c r="AB221" s="426"/>
      <c r="AC221" s="426"/>
      <c r="AD221" s="426"/>
      <c r="AE221" s="426"/>
      <c r="AF221" s="426"/>
      <c r="AG221" s="426"/>
      <c r="AH221" s="426"/>
      <c r="AI221" s="426"/>
      <c r="AJ221" s="426"/>
      <c r="AK221" s="426"/>
      <c r="AL221" s="426"/>
      <c r="AM221" s="426"/>
    </row>
    <row r="222" spans="1:39">
      <c r="A222" s="629"/>
      <c r="B222" s="629">
        <v>5900</v>
      </c>
      <c r="C222" s="625"/>
      <c r="D222" s="633" t="s">
        <v>4096</v>
      </c>
      <c r="E222" s="37"/>
      <c r="F222" s="629"/>
      <c r="G222" s="629"/>
      <c r="H222" s="629"/>
      <c r="I222" s="625"/>
      <c r="J222" s="625"/>
      <c r="K222" s="37"/>
      <c r="L222" s="37"/>
      <c r="M222" s="629"/>
      <c r="N222" s="629"/>
      <c r="O222" s="629"/>
      <c r="P222" s="625"/>
      <c r="Q222" s="625"/>
      <c r="R222" s="37"/>
      <c r="S222" s="37"/>
      <c r="T222" s="629"/>
      <c r="U222" s="629"/>
      <c r="V222" s="37" t="s">
        <v>2212</v>
      </c>
      <c r="W222" s="37">
        <v>2</v>
      </c>
      <c r="X222" s="625"/>
      <c r="Y222" s="37"/>
      <c r="Z222" s="37"/>
      <c r="AA222" s="426"/>
      <c r="AB222" s="426"/>
      <c r="AC222" s="426"/>
      <c r="AD222" s="426"/>
      <c r="AE222" s="426"/>
      <c r="AF222" s="426"/>
      <c r="AG222" s="426"/>
      <c r="AH222" s="426"/>
      <c r="AI222" s="426"/>
      <c r="AJ222" s="426"/>
      <c r="AK222" s="426"/>
      <c r="AL222" s="426"/>
      <c r="AM222" s="426"/>
    </row>
    <row r="223" spans="1:39">
      <c r="A223" s="50"/>
      <c r="B223" s="52">
        <v>5925</v>
      </c>
      <c r="C223" s="53" t="s">
        <v>37</v>
      </c>
      <c r="D223" s="55" t="s">
        <v>1042</v>
      </c>
      <c r="E223" s="53">
        <v>60</v>
      </c>
      <c r="F223" s="56" t="s">
        <v>1043</v>
      </c>
      <c r="G223" s="57" t="s">
        <v>1044</v>
      </c>
      <c r="H223" s="58">
        <v>29000</v>
      </c>
      <c r="I223" s="59"/>
      <c r="J223" s="60" t="s">
        <v>2452</v>
      </c>
      <c r="K223" s="61"/>
      <c r="L223" s="62"/>
      <c r="M223" s="64"/>
      <c r="N223" s="65"/>
      <c r="O223" s="65"/>
      <c r="P223" s="65"/>
      <c r="Q223" s="65"/>
      <c r="R223" s="65"/>
      <c r="S223" s="65"/>
      <c r="T223" s="67"/>
      <c r="U223" s="67">
        <v>2558</v>
      </c>
      <c r="V223" s="68" t="s">
        <v>2212</v>
      </c>
      <c r="W223" s="69" t="e">
        <v>#REF!</v>
      </c>
      <c r="X223" s="70"/>
      <c r="Y223" s="70"/>
      <c r="Z223" s="70"/>
      <c r="AA223" s="429"/>
      <c r="AB223" s="429"/>
      <c r="AC223" s="429"/>
      <c r="AD223" s="429"/>
      <c r="AE223" s="429"/>
      <c r="AF223" s="429"/>
      <c r="AG223" s="429"/>
      <c r="AH223" s="429"/>
      <c r="AI223" s="429"/>
      <c r="AJ223" s="429"/>
      <c r="AK223" s="429"/>
      <c r="AL223" s="429"/>
      <c r="AM223" s="429"/>
    </row>
    <row r="224" spans="1:39">
      <c r="A224" s="50"/>
      <c r="B224" s="52">
        <v>5925</v>
      </c>
      <c r="C224" s="53" t="s">
        <v>37</v>
      </c>
      <c r="D224" s="55" t="s">
        <v>1046</v>
      </c>
      <c r="E224" s="53">
        <v>54</v>
      </c>
      <c r="F224" s="56" t="s">
        <v>1048</v>
      </c>
      <c r="G224" s="57" t="s">
        <v>1044</v>
      </c>
      <c r="H224" s="58"/>
      <c r="I224" s="59"/>
      <c r="J224" s="60" t="s">
        <v>2452</v>
      </c>
      <c r="K224" s="623" t="s">
        <v>2452</v>
      </c>
      <c r="L224" s="62"/>
      <c r="M224" s="64"/>
      <c r="N224" s="65"/>
      <c r="O224" s="65"/>
      <c r="P224" s="65"/>
      <c r="Q224" s="65"/>
      <c r="R224" s="65"/>
      <c r="S224" s="65"/>
      <c r="T224" s="67">
        <v>15</v>
      </c>
      <c r="U224" s="67">
        <v>2567</v>
      </c>
      <c r="V224" s="68" t="s">
        <v>2212</v>
      </c>
      <c r="W224" s="69" t="e">
        <v>#REF!</v>
      </c>
      <c r="X224" s="70"/>
      <c r="Y224" s="70"/>
      <c r="Z224" s="70"/>
      <c r="AA224" s="429"/>
      <c r="AB224" s="429"/>
      <c r="AC224" s="429"/>
      <c r="AD224" s="429"/>
      <c r="AE224" s="429"/>
      <c r="AF224" s="429"/>
      <c r="AG224" s="429"/>
      <c r="AH224" s="429"/>
      <c r="AI224" s="429"/>
      <c r="AJ224" s="429"/>
      <c r="AK224" s="429"/>
      <c r="AL224" s="429"/>
      <c r="AM224" s="429"/>
    </row>
    <row r="225" spans="1:39">
      <c r="A225" s="629"/>
      <c r="B225" s="629">
        <v>6100</v>
      </c>
      <c r="C225" s="625"/>
      <c r="D225" s="633" t="s">
        <v>4097</v>
      </c>
      <c r="E225" s="37"/>
      <c r="F225" s="629"/>
      <c r="G225" s="629"/>
      <c r="H225" s="629"/>
      <c r="I225" s="625"/>
      <c r="J225" s="625"/>
      <c r="K225" s="37"/>
      <c r="L225" s="37"/>
      <c r="M225" s="629"/>
      <c r="N225" s="629"/>
      <c r="O225" s="629"/>
      <c r="P225" s="625"/>
      <c r="Q225" s="625"/>
      <c r="R225" s="37"/>
      <c r="S225" s="37"/>
      <c r="T225" s="629"/>
      <c r="U225" s="629"/>
      <c r="V225" s="37" t="s">
        <v>2216</v>
      </c>
      <c r="W225" s="37">
        <v>43</v>
      </c>
      <c r="X225" s="625"/>
      <c r="Y225" s="37"/>
      <c r="Z225" s="37"/>
      <c r="AA225" s="426"/>
      <c r="AB225" s="426"/>
      <c r="AC225" s="426"/>
      <c r="AD225" s="426"/>
      <c r="AE225" s="426"/>
      <c r="AF225" s="426"/>
      <c r="AG225" s="426"/>
      <c r="AH225" s="426"/>
      <c r="AI225" s="426"/>
      <c r="AJ225" s="426"/>
      <c r="AK225" s="426"/>
      <c r="AL225" s="426"/>
      <c r="AM225" s="426"/>
    </row>
    <row r="226" spans="1:39">
      <c r="A226" s="50"/>
      <c r="B226" s="52">
        <v>6110</v>
      </c>
      <c r="C226" s="53" t="s">
        <v>37</v>
      </c>
      <c r="D226" s="55" t="s">
        <v>1051</v>
      </c>
      <c r="E226" s="53">
        <v>53</v>
      </c>
      <c r="F226" s="56" t="s">
        <v>1052</v>
      </c>
      <c r="G226" s="57" t="s">
        <v>78</v>
      </c>
      <c r="H226" s="58">
        <v>350000</v>
      </c>
      <c r="I226" s="59"/>
      <c r="J226" s="60" t="s">
        <v>2459</v>
      </c>
      <c r="K226" s="623" t="s">
        <v>2459</v>
      </c>
      <c r="L226" s="62"/>
      <c r="M226" s="64"/>
      <c r="N226" s="65"/>
      <c r="O226" s="65"/>
      <c r="P226" s="65"/>
      <c r="Q226" s="65"/>
      <c r="R226" s="65"/>
      <c r="S226" s="65"/>
      <c r="T226" s="67">
        <v>15</v>
      </c>
      <c r="U226" s="67">
        <v>2566</v>
      </c>
      <c r="V226" s="68" t="s">
        <v>2216</v>
      </c>
      <c r="W226" s="69" t="e">
        <v>#REF!</v>
      </c>
      <c r="X226" s="70"/>
      <c r="Y226" s="70"/>
      <c r="Z226" s="70"/>
      <c r="AA226" s="429"/>
      <c r="AB226" s="429"/>
      <c r="AC226" s="429"/>
      <c r="AD226" s="429"/>
      <c r="AE226" s="429"/>
      <c r="AF226" s="429"/>
      <c r="AG226" s="429"/>
      <c r="AH226" s="429"/>
      <c r="AI226" s="429"/>
      <c r="AJ226" s="429"/>
      <c r="AK226" s="429"/>
      <c r="AL226" s="429"/>
      <c r="AM226" s="429"/>
    </row>
    <row r="227" spans="1:39">
      <c r="A227" s="50"/>
      <c r="B227" s="52">
        <v>6110</v>
      </c>
      <c r="C227" s="53" t="s">
        <v>37</v>
      </c>
      <c r="D227" s="55" t="s">
        <v>1053</v>
      </c>
      <c r="E227" s="53">
        <v>53</v>
      </c>
      <c r="F227" s="56" t="s">
        <v>1054</v>
      </c>
      <c r="G227" s="57" t="s">
        <v>78</v>
      </c>
      <c r="H227" s="58">
        <v>738000</v>
      </c>
      <c r="I227" s="59"/>
      <c r="J227" s="60" t="s">
        <v>2459</v>
      </c>
      <c r="K227" s="623" t="s">
        <v>2459</v>
      </c>
      <c r="L227" s="62"/>
      <c r="M227" s="64"/>
      <c r="N227" s="65"/>
      <c r="O227" s="65"/>
      <c r="P227" s="65"/>
      <c r="Q227" s="65"/>
      <c r="R227" s="65"/>
      <c r="S227" s="65"/>
      <c r="T227" s="67">
        <v>15</v>
      </c>
      <c r="U227" s="67">
        <v>2566</v>
      </c>
      <c r="V227" s="68" t="s">
        <v>2216</v>
      </c>
      <c r="W227" s="69" t="e">
        <v>#REF!</v>
      </c>
      <c r="X227" s="70"/>
      <c r="Y227" s="70"/>
      <c r="Z227" s="70"/>
      <c r="AA227" s="429"/>
      <c r="AB227" s="429"/>
      <c r="AC227" s="429"/>
      <c r="AD227" s="429"/>
      <c r="AE227" s="429"/>
      <c r="AF227" s="429"/>
      <c r="AG227" s="429"/>
      <c r="AH227" s="429"/>
      <c r="AI227" s="429"/>
      <c r="AJ227" s="429"/>
      <c r="AK227" s="429"/>
      <c r="AL227" s="429"/>
      <c r="AM227" s="429"/>
    </row>
    <row r="228" spans="1:39">
      <c r="A228" s="50"/>
      <c r="B228" s="52">
        <v>6110</v>
      </c>
      <c r="C228" s="53" t="s">
        <v>37</v>
      </c>
      <c r="D228" s="55" t="s">
        <v>1055</v>
      </c>
      <c r="E228" s="53">
        <v>58</v>
      </c>
      <c r="F228" s="56" t="s">
        <v>1056</v>
      </c>
      <c r="G228" s="57" t="s">
        <v>78</v>
      </c>
      <c r="H228" s="58">
        <v>180000</v>
      </c>
      <c r="I228" s="59"/>
      <c r="J228" s="60" t="s">
        <v>2459</v>
      </c>
      <c r="K228" s="623" t="s">
        <v>2459</v>
      </c>
      <c r="L228" s="62"/>
      <c r="M228" s="64"/>
      <c r="N228" s="65"/>
      <c r="O228" s="65"/>
      <c r="P228" s="65"/>
      <c r="Q228" s="65"/>
      <c r="R228" s="65"/>
      <c r="S228" s="65"/>
      <c r="T228" s="67">
        <v>15</v>
      </c>
      <c r="U228" s="67">
        <v>2571</v>
      </c>
      <c r="V228" s="68" t="s">
        <v>2216</v>
      </c>
      <c r="W228" s="69" t="e">
        <v>#REF!</v>
      </c>
      <c r="X228" s="70"/>
      <c r="Y228" s="70"/>
      <c r="Z228" s="70"/>
      <c r="AA228" s="429"/>
      <c r="AB228" s="429"/>
      <c r="AC228" s="429"/>
      <c r="AD228" s="429"/>
      <c r="AE228" s="429"/>
      <c r="AF228" s="429"/>
      <c r="AG228" s="429"/>
      <c r="AH228" s="429"/>
      <c r="AI228" s="429"/>
      <c r="AJ228" s="429"/>
      <c r="AK228" s="429"/>
      <c r="AL228" s="429"/>
      <c r="AM228" s="429"/>
    </row>
    <row r="229" spans="1:39">
      <c r="A229" s="50"/>
      <c r="B229" s="52">
        <v>6110</v>
      </c>
      <c r="C229" s="53" t="s">
        <v>37</v>
      </c>
      <c r="D229" s="55" t="s">
        <v>1057</v>
      </c>
      <c r="E229" s="53">
        <v>58</v>
      </c>
      <c r="F229" s="56" t="s">
        <v>1058</v>
      </c>
      <c r="G229" s="57" t="s">
        <v>78</v>
      </c>
      <c r="H229" s="58">
        <v>450000</v>
      </c>
      <c r="I229" s="59"/>
      <c r="J229" s="60" t="s">
        <v>2459</v>
      </c>
      <c r="K229" s="623" t="s">
        <v>2459</v>
      </c>
      <c r="L229" s="62"/>
      <c r="M229" s="64"/>
      <c r="N229" s="65"/>
      <c r="O229" s="65"/>
      <c r="P229" s="65"/>
      <c r="Q229" s="65"/>
      <c r="R229" s="65"/>
      <c r="S229" s="65"/>
      <c r="T229" s="67">
        <v>15</v>
      </c>
      <c r="U229" s="67">
        <v>2571</v>
      </c>
      <c r="V229" s="68" t="s">
        <v>2216</v>
      </c>
      <c r="W229" s="69" t="e">
        <v>#REF!</v>
      </c>
      <c r="X229" s="70"/>
      <c r="Y229" s="70"/>
      <c r="Z229" s="70"/>
      <c r="AA229" s="429"/>
      <c r="AB229" s="429"/>
      <c r="AC229" s="429"/>
      <c r="AD229" s="429"/>
      <c r="AE229" s="429"/>
      <c r="AF229" s="429"/>
      <c r="AG229" s="429"/>
      <c r="AH229" s="429"/>
      <c r="AI229" s="429"/>
      <c r="AJ229" s="429"/>
      <c r="AK229" s="429"/>
      <c r="AL229" s="429"/>
      <c r="AM229" s="429"/>
    </row>
    <row r="230" spans="1:39">
      <c r="A230" s="50"/>
      <c r="B230" s="52">
        <v>6110</v>
      </c>
      <c r="C230" s="53" t="s">
        <v>37</v>
      </c>
      <c r="D230" s="55" t="s">
        <v>1059</v>
      </c>
      <c r="E230" s="53">
        <v>58</v>
      </c>
      <c r="F230" s="56" t="s">
        <v>1060</v>
      </c>
      <c r="G230" s="57" t="s">
        <v>78</v>
      </c>
      <c r="H230" s="58">
        <v>350000</v>
      </c>
      <c r="I230" s="59"/>
      <c r="J230" s="60" t="s">
        <v>2459</v>
      </c>
      <c r="K230" s="623" t="s">
        <v>2459</v>
      </c>
      <c r="L230" s="62"/>
      <c r="M230" s="64"/>
      <c r="N230" s="65"/>
      <c r="O230" s="65"/>
      <c r="P230" s="65"/>
      <c r="Q230" s="65"/>
      <c r="R230" s="65"/>
      <c r="S230" s="65"/>
      <c r="T230" s="67">
        <v>15</v>
      </c>
      <c r="U230" s="67">
        <v>2571</v>
      </c>
      <c r="V230" s="68" t="s">
        <v>2216</v>
      </c>
      <c r="W230" s="69" t="e">
        <v>#REF!</v>
      </c>
      <c r="X230" s="70"/>
      <c r="Y230" s="70"/>
      <c r="Z230" s="70"/>
      <c r="AA230" s="429"/>
      <c r="AB230" s="429"/>
      <c r="AC230" s="429"/>
      <c r="AD230" s="429"/>
      <c r="AE230" s="429"/>
      <c r="AF230" s="429"/>
      <c r="AG230" s="429"/>
      <c r="AH230" s="429"/>
      <c r="AI230" s="429"/>
      <c r="AJ230" s="429"/>
      <c r="AK230" s="429"/>
      <c r="AL230" s="429"/>
      <c r="AM230" s="429"/>
    </row>
    <row r="231" spans="1:39">
      <c r="A231" s="50"/>
      <c r="B231" s="52">
        <v>6110</v>
      </c>
      <c r="C231" s="53" t="s">
        <v>37</v>
      </c>
      <c r="D231" s="55" t="s">
        <v>1061</v>
      </c>
      <c r="E231" s="53">
        <v>58</v>
      </c>
      <c r="F231" s="56" t="s">
        <v>1062</v>
      </c>
      <c r="G231" s="57" t="s">
        <v>78</v>
      </c>
      <c r="H231" s="58">
        <v>300000</v>
      </c>
      <c r="I231" s="59"/>
      <c r="J231" s="60" t="s">
        <v>2459</v>
      </c>
      <c r="K231" s="623" t="s">
        <v>2459</v>
      </c>
      <c r="L231" s="62"/>
      <c r="M231" s="64"/>
      <c r="N231" s="65"/>
      <c r="O231" s="65"/>
      <c r="P231" s="65"/>
      <c r="Q231" s="65"/>
      <c r="R231" s="65"/>
      <c r="S231" s="65"/>
      <c r="T231" s="67">
        <v>15</v>
      </c>
      <c r="U231" s="67">
        <v>2571</v>
      </c>
      <c r="V231" s="68" t="s">
        <v>2216</v>
      </c>
      <c r="W231" s="69" t="e">
        <v>#REF!</v>
      </c>
      <c r="X231" s="70"/>
      <c r="Y231" s="70"/>
      <c r="Z231" s="70"/>
      <c r="AA231" s="429"/>
      <c r="AB231" s="429"/>
      <c r="AC231" s="429"/>
      <c r="AD231" s="429"/>
      <c r="AE231" s="429"/>
      <c r="AF231" s="429"/>
      <c r="AG231" s="429"/>
      <c r="AH231" s="429"/>
      <c r="AI231" s="429"/>
      <c r="AJ231" s="429"/>
      <c r="AK231" s="429"/>
      <c r="AL231" s="429"/>
      <c r="AM231" s="429"/>
    </row>
    <row r="232" spans="1:39">
      <c r="A232" s="50"/>
      <c r="B232" s="52">
        <v>6110</v>
      </c>
      <c r="C232" s="53" t="s">
        <v>37</v>
      </c>
      <c r="D232" s="55" t="s">
        <v>1063</v>
      </c>
      <c r="E232" s="53">
        <v>58</v>
      </c>
      <c r="F232" s="56" t="s">
        <v>1064</v>
      </c>
      <c r="G232" s="57" t="s">
        <v>78</v>
      </c>
      <c r="H232" s="58">
        <v>450000</v>
      </c>
      <c r="I232" s="59"/>
      <c r="J232" s="60" t="s">
        <v>2459</v>
      </c>
      <c r="K232" s="623" t="s">
        <v>2459</v>
      </c>
      <c r="L232" s="62"/>
      <c r="M232" s="64"/>
      <c r="N232" s="65"/>
      <c r="O232" s="65"/>
      <c r="P232" s="65"/>
      <c r="Q232" s="65"/>
      <c r="R232" s="65"/>
      <c r="S232" s="65"/>
      <c r="T232" s="67">
        <v>15</v>
      </c>
      <c r="U232" s="67">
        <v>2571</v>
      </c>
      <c r="V232" s="68" t="s">
        <v>2216</v>
      </c>
      <c r="W232" s="69" t="e">
        <v>#REF!</v>
      </c>
      <c r="X232" s="70"/>
      <c r="Y232" s="70"/>
      <c r="Z232" s="70"/>
      <c r="AA232" s="429"/>
      <c r="AB232" s="429"/>
      <c r="AC232" s="429"/>
      <c r="AD232" s="429"/>
      <c r="AE232" s="429"/>
      <c r="AF232" s="429"/>
      <c r="AG232" s="429"/>
      <c r="AH232" s="429"/>
      <c r="AI232" s="429"/>
      <c r="AJ232" s="429"/>
      <c r="AK232" s="429"/>
      <c r="AL232" s="429"/>
      <c r="AM232" s="429"/>
    </row>
    <row r="233" spans="1:39">
      <c r="A233" s="50"/>
      <c r="B233" s="52">
        <v>6110</v>
      </c>
      <c r="C233" s="53" t="s">
        <v>37</v>
      </c>
      <c r="D233" s="55" t="s">
        <v>1065</v>
      </c>
      <c r="E233" s="53">
        <v>61</v>
      </c>
      <c r="F233" s="56" t="s">
        <v>1066</v>
      </c>
      <c r="G233" s="57" t="s">
        <v>78</v>
      </c>
      <c r="H233" s="58">
        <v>1500000</v>
      </c>
      <c r="I233" s="59"/>
      <c r="J233" s="60" t="s">
        <v>2459</v>
      </c>
      <c r="K233" s="61"/>
      <c r="L233" s="62"/>
      <c r="M233" s="64"/>
      <c r="N233" s="65"/>
      <c r="O233" s="65"/>
      <c r="P233" s="65"/>
      <c r="Q233" s="65"/>
      <c r="R233" s="65"/>
      <c r="S233" s="65"/>
      <c r="T233" s="67"/>
      <c r="U233" s="67"/>
      <c r="V233" s="68" t="s">
        <v>2216</v>
      </c>
      <c r="W233" s="69" t="e">
        <v>#REF!</v>
      </c>
      <c r="X233" s="70"/>
      <c r="Y233" s="70"/>
      <c r="Z233" s="70"/>
      <c r="AA233" s="429"/>
      <c r="AB233" s="429"/>
      <c r="AC233" s="429"/>
      <c r="AD233" s="429"/>
      <c r="AE233" s="429"/>
      <c r="AF233" s="429"/>
      <c r="AG233" s="429"/>
      <c r="AH233" s="429"/>
      <c r="AI233" s="429"/>
      <c r="AJ233" s="429"/>
      <c r="AK233" s="429"/>
      <c r="AL233" s="429"/>
      <c r="AM233" s="429"/>
    </row>
    <row r="234" spans="1:39">
      <c r="A234" s="50"/>
      <c r="B234" s="52">
        <v>6110</v>
      </c>
      <c r="C234" s="53" t="s">
        <v>37</v>
      </c>
      <c r="D234" s="55" t="s">
        <v>1067</v>
      </c>
      <c r="E234" s="53">
        <v>59</v>
      </c>
      <c r="F234" s="56" t="s">
        <v>1068</v>
      </c>
      <c r="G234" s="57" t="s">
        <v>78</v>
      </c>
      <c r="H234" s="58">
        <v>800000</v>
      </c>
      <c r="I234" s="59"/>
      <c r="J234" s="60" t="s">
        <v>2459</v>
      </c>
      <c r="K234" s="61"/>
      <c r="L234" s="62"/>
      <c r="M234" s="64"/>
      <c r="N234" s="65"/>
      <c r="O234" s="65"/>
      <c r="P234" s="65"/>
      <c r="Q234" s="65"/>
      <c r="R234" s="65"/>
      <c r="S234" s="65"/>
      <c r="T234" s="67"/>
      <c r="U234" s="67">
        <v>2557</v>
      </c>
      <c r="V234" s="68" t="s">
        <v>2216</v>
      </c>
      <c r="W234" s="69" t="e">
        <v>#REF!</v>
      </c>
      <c r="X234" s="70"/>
      <c r="Y234" s="70"/>
      <c r="Z234" s="70"/>
      <c r="AA234" s="429"/>
      <c r="AB234" s="429"/>
      <c r="AC234" s="429"/>
      <c r="AD234" s="429"/>
      <c r="AE234" s="429"/>
      <c r="AF234" s="429"/>
      <c r="AG234" s="429"/>
      <c r="AH234" s="429"/>
      <c r="AI234" s="429"/>
      <c r="AJ234" s="429"/>
      <c r="AK234" s="429"/>
      <c r="AL234" s="429"/>
      <c r="AM234" s="429"/>
    </row>
    <row r="235" spans="1:39">
      <c r="A235" s="50"/>
      <c r="B235" s="52">
        <v>6110</v>
      </c>
      <c r="C235" s="53" t="s">
        <v>37</v>
      </c>
      <c r="D235" s="55" t="s">
        <v>1069</v>
      </c>
      <c r="E235" s="53">
        <v>60</v>
      </c>
      <c r="F235" s="56" t="s">
        <v>1070</v>
      </c>
      <c r="G235" s="57" t="s">
        <v>78</v>
      </c>
      <c r="H235" s="58">
        <v>1200000</v>
      </c>
      <c r="I235" s="59"/>
      <c r="J235" s="60" t="s">
        <v>2459</v>
      </c>
      <c r="K235" s="61"/>
      <c r="L235" s="62"/>
      <c r="M235" s="64"/>
      <c r="N235" s="65"/>
      <c r="O235" s="65"/>
      <c r="P235" s="65"/>
      <c r="Q235" s="65"/>
      <c r="R235" s="65"/>
      <c r="S235" s="65"/>
      <c r="T235" s="67"/>
      <c r="U235" s="67">
        <v>2558</v>
      </c>
      <c r="V235" s="68" t="s">
        <v>2216</v>
      </c>
      <c r="W235" s="69" t="e">
        <v>#REF!</v>
      </c>
      <c r="X235" s="70"/>
      <c r="Y235" s="70"/>
      <c r="Z235" s="70"/>
      <c r="AA235" s="429"/>
      <c r="AB235" s="429"/>
      <c r="AC235" s="429"/>
      <c r="AD235" s="429"/>
      <c r="AE235" s="429"/>
      <c r="AF235" s="429"/>
      <c r="AG235" s="429"/>
      <c r="AH235" s="429"/>
      <c r="AI235" s="429"/>
      <c r="AJ235" s="429"/>
      <c r="AK235" s="429"/>
      <c r="AL235" s="429"/>
      <c r="AM235" s="429"/>
    </row>
    <row r="236" spans="1:39">
      <c r="A236" s="50"/>
      <c r="B236" s="52">
        <v>6110</v>
      </c>
      <c r="C236" s="53" t="s">
        <v>37</v>
      </c>
      <c r="D236" s="55" t="s">
        <v>1071</v>
      </c>
      <c r="E236" s="53">
        <v>56</v>
      </c>
      <c r="F236" s="56" t="s">
        <v>1072</v>
      </c>
      <c r="G236" s="57" t="s">
        <v>78</v>
      </c>
      <c r="H236" s="58">
        <v>1500000</v>
      </c>
      <c r="I236" s="59"/>
      <c r="J236" s="60" t="s">
        <v>2459</v>
      </c>
      <c r="K236" s="623" t="s">
        <v>2459</v>
      </c>
      <c r="L236" s="62"/>
      <c r="M236" s="64"/>
      <c r="N236" s="65"/>
      <c r="O236" s="65"/>
      <c r="P236" s="65"/>
      <c r="Q236" s="65"/>
      <c r="R236" s="65"/>
      <c r="S236" s="65"/>
      <c r="T236" s="67">
        <v>15</v>
      </c>
      <c r="U236" s="67">
        <v>2569</v>
      </c>
      <c r="V236" s="68" t="s">
        <v>2216</v>
      </c>
      <c r="W236" s="69" t="e">
        <v>#REF!</v>
      </c>
      <c r="X236" s="70"/>
      <c r="Y236" s="70"/>
      <c r="Z236" s="70"/>
      <c r="AA236" s="429"/>
      <c r="AB236" s="429"/>
      <c r="AC236" s="429"/>
      <c r="AD236" s="429"/>
      <c r="AE236" s="429"/>
      <c r="AF236" s="429"/>
      <c r="AG236" s="429"/>
      <c r="AH236" s="429"/>
      <c r="AI236" s="429"/>
      <c r="AJ236" s="429"/>
      <c r="AK236" s="429"/>
      <c r="AL236" s="429"/>
      <c r="AM236" s="429"/>
    </row>
    <row r="237" spans="1:39">
      <c r="A237" s="50"/>
      <c r="B237" s="52">
        <v>6110</v>
      </c>
      <c r="C237" s="53" t="s">
        <v>37</v>
      </c>
      <c r="D237" s="55" t="s">
        <v>1073</v>
      </c>
      <c r="E237" s="53">
        <v>55</v>
      </c>
      <c r="F237" s="56" t="s">
        <v>1074</v>
      </c>
      <c r="G237" s="57" t="s">
        <v>78</v>
      </c>
      <c r="H237" s="58">
        <v>1350000</v>
      </c>
      <c r="I237" s="59"/>
      <c r="J237" s="60" t="s">
        <v>2459</v>
      </c>
      <c r="K237" s="623" t="s">
        <v>2459</v>
      </c>
      <c r="L237" s="62"/>
      <c r="M237" s="64"/>
      <c r="N237" s="65"/>
      <c r="O237" s="65"/>
      <c r="P237" s="65"/>
      <c r="Q237" s="65"/>
      <c r="R237" s="65"/>
      <c r="S237" s="65"/>
      <c r="T237" s="67">
        <v>15</v>
      </c>
      <c r="U237" s="67">
        <v>2568</v>
      </c>
      <c r="V237" s="68" t="s">
        <v>2216</v>
      </c>
      <c r="W237" s="69" t="e">
        <v>#REF!</v>
      </c>
      <c r="X237" s="70"/>
      <c r="Y237" s="70"/>
      <c r="Z237" s="70"/>
      <c r="AA237" s="429"/>
      <c r="AB237" s="429"/>
      <c r="AC237" s="429"/>
      <c r="AD237" s="429"/>
      <c r="AE237" s="429"/>
      <c r="AF237" s="429"/>
      <c r="AG237" s="429"/>
      <c r="AH237" s="429"/>
      <c r="AI237" s="429"/>
      <c r="AJ237" s="429"/>
      <c r="AK237" s="429"/>
      <c r="AL237" s="429"/>
      <c r="AM237" s="429"/>
    </row>
    <row r="238" spans="1:39">
      <c r="A238" s="50"/>
      <c r="B238" s="52">
        <v>6110</v>
      </c>
      <c r="C238" s="53" t="s">
        <v>37</v>
      </c>
      <c r="D238" s="55" t="s">
        <v>1075</v>
      </c>
      <c r="E238" s="53">
        <v>57</v>
      </c>
      <c r="F238" s="56" t="s">
        <v>1076</v>
      </c>
      <c r="G238" s="57" t="s">
        <v>78</v>
      </c>
      <c r="H238" s="58">
        <v>1050000</v>
      </c>
      <c r="I238" s="59"/>
      <c r="J238" s="60" t="s">
        <v>2459</v>
      </c>
      <c r="K238" s="623" t="s">
        <v>2459</v>
      </c>
      <c r="L238" s="62"/>
      <c r="M238" s="64"/>
      <c r="N238" s="65"/>
      <c r="O238" s="65"/>
      <c r="P238" s="65"/>
      <c r="Q238" s="65"/>
      <c r="R238" s="65"/>
      <c r="S238" s="65"/>
      <c r="T238" s="67">
        <v>15</v>
      </c>
      <c r="U238" s="67">
        <v>2570</v>
      </c>
      <c r="V238" s="68" t="s">
        <v>2216</v>
      </c>
      <c r="W238" s="69" t="e">
        <v>#REF!</v>
      </c>
      <c r="X238" s="70"/>
      <c r="Y238" s="70"/>
      <c r="Z238" s="70"/>
      <c r="AA238" s="429"/>
      <c r="AB238" s="429"/>
      <c r="AC238" s="429"/>
      <c r="AD238" s="429"/>
      <c r="AE238" s="429"/>
      <c r="AF238" s="429"/>
      <c r="AG238" s="429"/>
      <c r="AH238" s="429"/>
      <c r="AI238" s="429"/>
      <c r="AJ238" s="429"/>
      <c r="AK238" s="429"/>
      <c r="AL238" s="429"/>
      <c r="AM238" s="429"/>
    </row>
    <row r="239" spans="1:39">
      <c r="A239" s="50"/>
      <c r="B239" s="52">
        <v>6115</v>
      </c>
      <c r="C239" s="53" t="s">
        <v>37</v>
      </c>
      <c r="D239" s="55" t="s">
        <v>1077</v>
      </c>
      <c r="E239" s="53">
        <v>58</v>
      </c>
      <c r="F239" s="56" t="s">
        <v>1078</v>
      </c>
      <c r="G239" s="57" t="s">
        <v>78</v>
      </c>
      <c r="H239" s="58">
        <v>260000</v>
      </c>
      <c r="I239" s="59"/>
      <c r="J239" s="60" t="s">
        <v>2460</v>
      </c>
      <c r="K239" s="623" t="s">
        <v>2460</v>
      </c>
      <c r="L239" s="62"/>
      <c r="M239" s="64"/>
      <c r="N239" s="65"/>
      <c r="O239" s="65"/>
      <c r="P239" s="65"/>
      <c r="Q239" s="65"/>
      <c r="R239" s="65"/>
      <c r="S239" s="65"/>
      <c r="T239" s="67" t="s">
        <v>1079</v>
      </c>
      <c r="U239" s="67">
        <v>2571</v>
      </c>
      <c r="V239" s="68" t="s">
        <v>2216</v>
      </c>
      <c r="W239" s="69" t="e">
        <v>#REF!</v>
      </c>
      <c r="X239" s="70"/>
      <c r="Y239" s="70"/>
      <c r="Z239" s="70"/>
      <c r="AA239" s="429"/>
      <c r="AB239" s="429"/>
      <c r="AC239" s="429"/>
      <c r="AD239" s="429"/>
      <c r="AE239" s="429"/>
      <c r="AF239" s="429"/>
      <c r="AG239" s="429"/>
      <c r="AH239" s="429"/>
      <c r="AI239" s="429"/>
      <c r="AJ239" s="429"/>
      <c r="AK239" s="429"/>
      <c r="AL239" s="429"/>
      <c r="AM239" s="429"/>
    </row>
    <row r="240" spans="1:39">
      <c r="A240" s="50"/>
      <c r="B240" s="52">
        <v>6115</v>
      </c>
      <c r="C240" s="53" t="s">
        <v>37</v>
      </c>
      <c r="D240" s="55" t="s">
        <v>1080</v>
      </c>
      <c r="E240" s="53">
        <v>60</v>
      </c>
      <c r="F240" s="56" t="s">
        <v>782</v>
      </c>
      <c r="G240" s="57" t="s">
        <v>78</v>
      </c>
      <c r="H240" s="58">
        <v>670000</v>
      </c>
      <c r="I240" s="59"/>
      <c r="J240" s="60" t="s">
        <v>2460</v>
      </c>
      <c r="K240" s="61"/>
      <c r="L240" s="62"/>
      <c r="M240" s="64"/>
      <c r="N240" s="65"/>
      <c r="O240" s="65"/>
      <c r="P240" s="65"/>
      <c r="Q240" s="65"/>
      <c r="R240" s="65"/>
      <c r="S240" s="65"/>
      <c r="T240" s="67"/>
      <c r="U240" s="67">
        <v>2558</v>
      </c>
      <c r="V240" s="68" t="s">
        <v>2216</v>
      </c>
      <c r="W240" s="69" t="e">
        <v>#REF!</v>
      </c>
      <c r="X240" s="70"/>
      <c r="Y240" s="70"/>
      <c r="Z240" s="70"/>
      <c r="AA240" s="429"/>
      <c r="AB240" s="429"/>
      <c r="AC240" s="429"/>
      <c r="AD240" s="429"/>
      <c r="AE240" s="429"/>
      <c r="AF240" s="429"/>
      <c r="AG240" s="429"/>
      <c r="AH240" s="429"/>
      <c r="AI240" s="429"/>
      <c r="AJ240" s="429"/>
      <c r="AK240" s="429"/>
      <c r="AL240" s="429"/>
      <c r="AM240" s="429"/>
    </row>
    <row r="241" spans="1:39">
      <c r="A241" s="50"/>
      <c r="B241" s="52">
        <v>6115</v>
      </c>
      <c r="C241" s="53" t="s">
        <v>37</v>
      </c>
      <c r="D241" s="55" t="s">
        <v>1083</v>
      </c>
      <c r="E241" s="53">
        <v>60</v>
      </c>
      <c r="F241" s="56" t="s">
        <v>1084</v>
      </c>
      <c r="G241" s="57" t="s">
        <v>78</v>
      </c>
      <c r="H241" s="58">
        <v>758000</v>
      </c>
      <c r="I241" s="59"/>
      <c r="J241" s="60" t="s">
        <v>2460</v>
      </c>
      <c r="K241" s="61"/>
      <c r="L241" s="62"/>
      <c r="M241" s="64"/>
      <c r="N241" s="65"/>
      <c r="O241" s="65"/>
      <c r="P241" s="65"/>
      <c r="Q241" s="65"/>
      <c r="R241" s="65"/>
      <c r="S241" s="65"/>
      <c r="T241" s="67"/>
      <c r="U241" s="67">
        <v>2558</v>
      </c>
      <c r="V241" s="68" t="s">
        <v>2216</v>
      </c>
      <c r="W241" s="69" t="e">
        <v>#REF!</v>
      </c>
      <c r="X241" s="70"/>
      <c r="Y241" s="70"/>
      <c r="Z241" s="70"/>
      <c r="AA241" s="429"/>
      <c r="AB241" s="429"/>
      <c r="AC241" s="429"/>
      <c r="AD241" s="429"/>
      <c r="AE241" s="429"/>
      <c r="AF241" s="429"/>
      <c r="AG241" s="429"/>
      <c r="AH241" s="429"/>
      <c r="AI241" s="429"/>
      <c r="AJ241" s="429"/>
      <c r="AK241" s="429"/>
      <c r="AL241" s="429"/>
      <c r="AM241" s="429"/>
    </row>
    <row r="242" spans="1:39">
      <c r="A242" s="50"/>
      <c r="B242" s="52">
        <v>6115</v>
      </c>
      <c r="C242" s="53" t="s">
        <v>37</v>
      </c>
      <c r="D242" s="55" t="s">
        <v>1088</v>
      </c>
      <c r="E242" s="53">
        <v>57</v>
      </c>
      <c r="F242" s="56" t="s">
        <v>1089</v>
      </c>
      <c r="G242" s="57" t="s">
        <v>78</v>
      </c>
      <c r="H242" s="58">
        <v>13000</v>
      </c>
      <c r="I242" s="59"/>
      <c r="J242" s="60" t="s">
        <v>2460</v>
      </c>
      <c r="K242" s="623" t="s">
        <v>2460</v>
      </c>
      <c r="L242" s="62"/>
      <c r="M242" s="64"/>
      <c r="N242" s="65"/>
      <c r="O242" s="65"/>
      <c r="P242" s="65"/>
      <c r="Q242" s="65"/>
      <c r="R242" s="65"/>
      <c r="S242" s="65"/>
      <c r="T242" s="67">
        <v>15</v>
      </c>
      <c r="U242" s="67">
        <v>2567</v>
      </c>
      <c r="V242" s="68" t="s">
        <v>2216</v>
      </c>
      <c r="W242" s="69" t="e">
        <v>#REF!</v>
      </c>
      <c r="X242" s="70"/>
      <c r="Y242" s="70"/>
      <c r="Z242" s="70"/>
      <c r="AA242" s="429"/>
      <c r="AB242" s="429"/>
      <c r="AC242" s="429"/>
      <c r="AD242" s="429"/>
      <c r="AE242" s="429"/>
      <c r="AF242" s="429"/>
      <c r="AG242" s="429"/>
      <c r="AH242" s="429"/>
      <c r="AI242" s="429"/>
      <c r="AJ242" s="429"/>
      <c r="AK242" s="429"/>
      <c r="AL242" s="429"/>
      <c r="AM242" s="429"/>
    </row>
    <row r="243" spans="1:39">
      <c r="A243" s="50"/>
      <c r="B243" s="52">
        <v>6115</v>
      </c>
      <c r="C243" s="53" t="s">
        <v>37</v>
      </c>
      <c r="D243" s="55" t="s">
        <v>1085</v>
      </c>
      <c r="E243" s="53">
        <v>54</v>
      </c>
      <c r="F243" s="56" t="s">
        <v>1086</v>
      </c>
      <c r="G243" s="57" t="s">
        <v>78</v>
      </c>
      <c r="H243" s="58">
        <v>150000</v>
      </c>
      <c r="I243" s="59"/>
      <c r="J243" s="60" t="s">
        <v>2460</v>
      </c>
      <c r="K243" s="623" t="s">
        <v>2460</v>
      </c>
      <c r="L243" s="62"/>
      <c r="M243" s="64"/>
      <c r="N243" s="65"/>
      <c r="O243" s="65"/>
      <c r="P243" s="65"/>
      <c r="Q243" s="65"/>
      <c r="R243" s="65"/>
      <c r="S243" s="65"/>
      <c r="T243" s="67"/>
      <c r="U243" s="67"/>
      <c r="V243" s="68"/>
      <c r="W243" s="69"/>
      <c r="X243" s="70"/>
      <c r="Y243" s="70"/>
      <c r="Z243" s="70"/>
      <c r="AA243" s="429"/>
      <c r="AB243" s="429"/>
      <c r="AC243" s="429"/>
      <c r="AD243" s="429"/>
      <c r="AE243" s="429"/>
      <c r="AF243" s="429"/>
      <c r="AG243" s="429"/>
      <c r="AH243" s="429"/>
      <c r="AI243" s="429"/>
      <c r="AJ243" s="429"/>
      <c r="AK243" s="429"/>
      <c r="AL243" s="429"/>
      <c r="AM243" s="429"/>
    </row>
    <row r="244" spans="1:39">
      <c r="A244" s="50"/>
      <c r="B244" s="52">
        <v>6115</v>
      </c>
      <c r="C244" s="53" t="s">
        <v>37</v>
      </c>
      <c r="D244" s="55" t="s">
        <v>1090</v>
      </c>
      <c r="E244" s="53">
        <v>58</v>
      </c>
      <c r="F244" s="56" t="s">
        <v>1091</v>
      </c>
      <c r="G244" s="57" t="s">
        <v>78</v>
      </c>
      <c r="H244" s="58">
        <v>1400000</v>
      </c>
      <c r="I244" s="59"/>
      <c r="J244" s="60" t="s">
        <v>2460</v>
      </c>
      <c r="K244" s="623" t="s">
        <v>2460</v>
      </c>
      <c r="L244" s="62"/>
      <c r="M244" s="64"/>
      <c r="N244" s="65"/>
      <c r="O244" s="65"/>
      <c r="P244" s="65"/>
      <c r="Q244" s="65"/>
      <c r="R244" s="65"/>
      <c r="S244" s="65"/>
      <c r="T244" s="67">
        <v>15</v>
      </c>
      <c r="U244" s="67">
        <v>2570</v>
      </c>
      <c r="V244" s="68" t="s">
        <v>2216</v>
      </c>
      <c r="W244" s="69" t="e">
        <v>#REF!</v>
      </c>
      <c r="X244" s="70"/>
      <c r="Y244" s="70"/>
      <c r="Z244" s="70"/>
      <c r="AA244" s="429"/>
      <c r="AB244" s="429"/>
      <c r="AC244" s="429"/>
      <c r="AD244" s="429"/>
      <c r="AE244" s="429"/>
      <c r="AF244" s="429"/>
      <c r="AG244" s="429"/>
      <c r="AH244" s="429"/>
      <c r="AI244" s="429"/>
      <c r="AJ244" s="429"/>
      <c r="AK244" s="429"/>
      <c r="AL244" s="429"/>
      <c r="AM244" s="429"/>
    </row>
    <row r="245" spans="1:39">
      <c r="A245" s="50"/>
      <c r="B245" s="52">
        <v>6115</v>
      </c>
      <c r="C245" s="53" t="s">
        <v>37</v>
      </c>
      <c r="D245" s="55" t="s">
        <v>1092</v>
      </c>
      <c r="E245" s="53">
        <v>58</v>
      </c>
      <c r="F245" s="56" t="s">
        <v>1093</v>
      </c>
      <c r="G245" s="57" t="s">
        <v>78</v>
      </c>
      <c r="H245" s="58" t="s">
        <v>1094</v>
      </c>
      <c r="I245" s="59"/>
      <c r="J245" s="60" t="s">
        <v>2460</v>
      </c>
      <c r="K245" s="623" t="s">
        <v>2460</v>
      </c>
      <c r="L245" s="62"/>
      <c r="M245" s="64"/>
      <c r="N245" s="65"/>
      <c r="O245" s="65"/>
      <c r="P245" s="65"/>
      <c r="Q245" s="65"/>
      <c r="R245" s="65"/>
      <c r="S245" s="65"/>
      <c r="T245" s="67">
        <v>15</v>
      </c>
      <c r="U245" s="67">
        <v>2571</v>
      </c>
      <c r="V245" s="68" t="s">
        <v>2216</v>
      </c>
      <c r="W245" s="69" t="e">
        <v>#REF!</v>
      </c>
      <c r="X245" s="70"/>
      <c r="Y245" s="70"/>
      <c r="Z245" s="70"/>
      <c r="AA245" s="429"/>
      <c r="AB245" s="429"/>
      <c r="AC245" s="429"/>
      <c r="AD245" s="429"/>
      <c r="AE245" s="429"/>
      <c r="AF245" s="429"/>
      <c r="AG245" s="429"/>
      <c r="AH245" s="429"/>
      <c r="AI245" s="429"/>
      <c r="AJ245" s="429"/>
      <c r="AK245" s="429"/>
      <c r="AL245" s="429"/>
      <c r="AM245" s="429"/>
    </row>
    <row r="246" spans="1:39">
      <c r="A246" s="50"/>
      <c r="B246" s="52">
        <v>6115</v>
      </c>
      <c r="C246" s="53" t="s">
        <v>37</v>
      </c>
      <c r="D246" s="55" t="s">
        <v>1095</v>
      </c>
      <c r="E246" s="53">
        <v>58</v>
      </c>
      <c r="F246" s="56" t="s">
        <v>1096</v>
      </c>
      <c r="G246" s="57" t="s">
        <v>78</v>
      </c>
      <c r="H246" s="58">
        <v>1250000</v>
      </c>
      <c r="I246" s="59"/>
      <c r="J246" s="60" t="s">
        <v>2460</v>
      </c>
      <c r="K246" s="623" t="s">
        <v>2460</v>
      </c>
      <c r="L246" s="62"/>
      <c r="M246" s="64"/>
      <c r="N246" s="65"/>
      <c r="O246" s="65"/>
      <c r="P246" s="65"/>
      <c r="Q246" s="65"/>
      <c r="R246" s="65"/>
      <c r="S246" s="65"/>
      <c r="T246" s="67">
        <v>15</v>
      </c>
      <c r="U246" s="67">
        <v>2571</v>
      </c>
      <c r="V246" s="68" t="s">
        <v>2216</v>
      </c>
      <c r="W246" s="69" t="e">
        <v>#REF!</v>
      </c>
      <c r="X246" s="70"/>
      <c r="Y246" s="70"/>
      <c r="Z246" s="70"/>
      <c r="AA246" s="429"/>
      <c r="AB246" s="429"/>
      <c r="AC246" s="429"/>
      <c r="AD246" s="429"/>
      <c r="AE246" s="429"/>
      <c r="AF246" s="429"/>
      <c r="AG246" s="429"/>
      <c r="AH246" s="429"/>
      <c r="AI246" s="429"/>
      <c r="AJ246" s="429"/>
      <c r="AK246" s="429"/>
      <c r="AL246" s="429"/>
      <c r="AM246" s="429"/>
    </row>
    <row r="247" spans="1:39">
      <c r="A247" s="50"/>
      <c r="B247" s="52">
        <v>6115</v>
      </c>
      <c r="C247" s="53" t="s">
        <v>37</v>
      </c>
      <c r="D247" s="55" t="s">
        <v>1099</v>
      </c>
      <c r="E247" s="53">
        <v>55</v>
      </c>
      <c r="F247" s="56" t="s">
        <v>1100</v>
      </c>
      <c r="G247" s="57" t="s">
        <v>78</v>
      </c>
      <c r="H247" s="58">
        <v>27500</v>
      </c>
      <c r="I247" s="59"/>
      <c r="J247" s="60" t="s">
        <v>2460</v>
      </c>
      <c r="K247" s="623" t="s">
        <v>2460</v>
      </c>
      <c r="L247" s="62"/>
      <c r="M247" s="64"/>
      <c r="N247" s="65"/>
      <c r="O247" s="65"/>
      <c r="P247" s="65"/>
      <c r="Q247" s="65"/>
      <c r="R247" s="65"/>
      <c r="S247" s="65"/>
      <c r="T247" s="67">
        <v>15</v>
      </c>
      <c r="U247" s="67">
        <v>2571</v>
      </c>
      <c r="V247" s="68" t="s">
        <v>2216</v>
      </c>
      <c r="W247" s="69" t="e">
        <v>#REF!</v>
      </c>
      <c r="X247" s="70"/>
      <c r="Y247" s="70"/>
      <c r="Z247" s="70"/>
      <c r="AA247" s="429"/>
      <c r="AB247" s="429"/>
      <c r="AC247" s="429"/>
      <c r="AD247" s="429"/>
      <c r="AE247" s="429"/>
      <c r="AF247" s="429"/>
      <c r="AG247" s="429"/>
      <c r="AH247" s="429"/>
      <c r="AI247" s="429"/>
      <c r="AJ247" s="429"/>
      <c r="AK247" s="429"/>
      <c r="AL247" s="429"/>
      <c r="AM247" s="429"/>
    </row>
    <row r="248" spans="1:39">
      <c r="A248" s="50"/>
      <c r="B248" s="52">
        <v>6115</v>
      </c>
      <c r="C248" s="53" t="s">
        <v>37</v>
      </c>
      <c r="D248" s="55" t="s">
        <v>1107</v>
      </c>
      <c r="E248" s="53">
        <v>61</v>
      </c>
      <c r="F248" s="56" t="s">
        <v>787</v>
      </c>
      <c r="G248" s="57" t="s">
        <v>78</v>
      </c>
      <c r="H248" s="58">
        <v>57500</v>
      </c>
      <c r="I248" s="59"/>
      <c r="J248" s="60" t="s">
        <v>2460</v>
      </c>
      <c r="K248" s="61"/>
      <c r="L248" s="62"/>
      <c r="M248" s="64"/>
      <c r="N248" s="65"/>
      <c r="O248" s="65"/>
      <c r="P248" s="65"/>
      <c r="Q248" s="65"/>
      <c r="R248" s="65"/>
      <c r="S248" s="65"/>
      <c r="T248" s="67">
        <v>15</v>
      </c>
      <c r="U248" s="67">
        <v>2567</v>
      </c>
      <c r="V248" s="68" t="s">
        <v>2216</v>
      </c>
      <c r="W248" s="69" t="e">
        <v>#REF!</v>
      </c>
      <c r="X248" s="70"/>
      <c r="Y248" s="70"/>
      <c r="Z248" s="70"/>
      <c r="AA248" s="429"/>
      <c r="AB248" s="429"/>
      <c r="AC248" s="429"/>
      <c r="AD248" s="429"/>
      <c r="AE248" s="429"/>
      <c r="AF248" s="429"/>
      <c r="AG248" s="429"/>
      <c r="AH248" s="429"/>
      <c r="AI248" s="429"/>
      <c r="AJ248" s="429"/>
      <c r="AK248" s="429"/>
      <c r="AL248" s="429"/>
      <c r="AM248" s="429"/>
    </row>
    <row r="249" spans="1:39">
      <c r="A249" s="50"/>
      <c r="B249" s="52">
        <v>6115</v>
      </c>
      <c r="C249" s="53" t="s">
        <v>37</v>
      </c>
      <c r="D249" s="55" t="s">
        <v>1097</v>
      </c>
      <c r="E249" s="53">
        <v>54</v>
      </c>
      <c r="F249" s="56" t="s">
        <v>1098</v>
      </c>
      <c r="G249" s="57" t="s">
        <v>78</v>
      </c>
      <c r="H249" s="58">
        <v>385000</v>
      </c>
      <c r="I249" s="59"/>
      <c r="J249" s="60" t="s">
        <v>2460</v>
      </c>
      <c r="K249" s="623" t="s">
        <v>2460</v>
      </c>
      <c r="L249" s="62"/>
      <c r="M249" s="64"/>
      <c r="N249" s="65"/>
      <c r="O249" s="65"/>
      <c r="P249" s="65"/>
      <c r="Q249" s="65"/>
      <c r="R249" s="65"/>
      <c r="S249" s="65"/>
      <c r="T249" s="67">
        <v>15</v>
      </c>
      <c r="U249" s="67">
        <v>2568</v>
      </c>
      <c r="V249" s="68" t="s">
        <v>2216</v>
      </c>
      <c r="W249" s="69" t="e">
        <v>#REF!</v>
      </c>
      <c r="X249" s="70"/>
      <c r="Y249" s="70"/>
      <c r="Z249" s="70"/>
      <c r="AA249" s="429"/>
      <c r="AB249" s="429"/>
      <c r="AC249" s="429"/>
      <c r="AD249" s="429"/>
      <c r="AE249" s="429"/>
      <c r="AF249" s="429"/>
      <c r="AG249" s="429"/>
      <c r="AH249" s="429"/>
      <c r="AI249" s="429"/>
      <c r="AJ249" s="429"/>
      <c r="AK249" s="429"/>
      <c r="AL249" s="429"/>
      <c r="AM249" s="429"/>
    </row>
    <row r="250" spans="1:39">
      <c r="A250" s="50"/>
      <c r="B250" s="52">
        <v>6115</v>
      </c>
      <c r="C250" s="53" t="s">
        <v>37</v>
      </c>
      <c r="D250" s="55" t="s">
        <v>1101</v>
      </c>
      <c r="E250" s="53">
        <v>53</v>
      </c>
      <c r="F250" s="56" t="s">
        <v>1102</v>
      </c>
      <c r="G250" s="57" t="s">
        <v>78</v>
      </c>
      <c r="H250" s="58">
        <v>2370000</v>
      </c>
      <c r="I250" s="59"/>
      <c r="J250" s="60" t="s">
        <v>2460</v>
      </c>
      <c r="K250" s="623" t="s">
        <v>2460</v>
      </c>
      <c r="L250" s="62"/>
      <c r="M250" s="64"/>
      <c r="N250" s="65"/>
      <c r="O250" s="65"/>
      <c r="P250" s="65"/>
      <c r="Q250" s="65"/>
      <c r="R250" s="65"/>
      <c r="S250" s="65"/>
      <c r="T250" s="67">
        <v>15</v>
      </c>
      <c r="U250" s="67">
        <v>2566</v>
      </c>
      <c r="V250" s="68" t="s">
        <v>2216</v>
      </c>
      <c r="W250" s="69" t="e">
        <v>#REF!</v>
      </c>
      <c r="X250" s="70"/>
      <c r="Y250" s="70"/>
      <c r="Z250" s="70"/>
      <c r="AA250" s="429"/>
      <c r="AB250" s="429"/>
      <c r="AC250" s="429"/>
      <c r="AD250" s="429"/>
      <c r="AE250" s="429"/>
      <c r="AF250" s="429"/>
      <c r="AG250" s="429"/>
      <c r="AH250" s="429"/>
      <c r="AI250" s="429"/>
      <c r="AJ250" s="429"/>
      <c r="AK250" s="429"/>
      <c r="AL250" s="429"/>
      <c r="AM250" s="429"/>
    </row>
    <row r="251" spans="1:39">
      <c r="A251" s="50"/>
      <c r="B251" s="52">
        <v>6115</v>
      </c>
      <c r="C251" s="53" t="s">
        <v>37</v>
      </c>
      <c r="D251" s="55" t="s">
        <v>1103</v>
      </c>
      <c r="E251" s="53">
        <v>53</v>
      </c>
      <c r="F251" s="56" t="s">
        <v>1104</v>
      </c>
      <c r="G251" s="57" t="s">
        <v>78</v>
      </c>
      <c r="H251" s="58">
        <v>3350000</v>
      </c>
      <c r="I251" s="59"/>
      <c r="J251" s="60" t="s">
        <v>2460</v>
      </c>
      <c r="K251" s="623" t="s">
        <v>2460</v>
      </c>
      <c r="L251" s="62"/>
      <c r="M251" s="64"/>
      <c r="N251" s="65"/>
      <c r="O251" s="65"/>
      <c r="P251" s="65"/>
      <c r="Q251" s="65"/>
      <c r="R251" s="65"/>
      <c r="S251" s="65"/>
      <c r="T251" s="67">
        <v>15</v>
      </c>
      <c r="U251" s="67">
        <v>2566</v>
      </c>
      <c r="V251" s="68" t="s">
        <v>2216</v>
      </c>
      <c r="W251" s="69" t="e">
        <v>#REF!</v>
      </c>
      <c r="X251" s="70"/>
      <c r="Y251" s="70"/>
      <c r="Z251" s="70"/>
      <c r="AA251" s="429"/>
      <c r="AB251" s="429"/>
      <c r="AC251" s="429"/>
      <c r="AD251" s="429"/>
      <c r="AE251" s="429"/>
      <c r="AF251" s="429"/>
      <c r="AG251" s="429"/>
      <c r="AH251" s="429"/>
      <c r="AI251" s="429"/>
      <c r="AJ251" s="429"/>
      <c r="AK251" s="429"/>
      <c r="AL251" s="429"/>
      <c r="AM251" s="429"/>
    </row>
    <row r="252" spans="1:39">
      <c r="A252" s="50"/>
      <c r="B252" s="52">
        <v>6115</v>
      </c>
      <c r="C252" s="53" t="s">
        <v>37</v>
      </c>
      <c r="D252" s="55" t="s">
        <v>1108</v>
      </c>
      <c r="E252" s="53">
        <v>59</v>
      </c>
      <c r="F252" s="56" t="s">
        <v>1109</v>
      </c>
      <c r="G252" s="57" t="s">
        <v>78</v>
      </c>
      <c r="H252" s="58">
        <v>8000000</v>
      </c>
      <c r="I252" s="59"/>
      <c r="J252" s="60" t="s">
        <v>2460</v>
      </c>
      <c r="K252" s="61"/>
      <c r="L252" s="62"/>
      <c r="M252" s="64"/>
      <c r="N252" s="65"/>
      <c r="O252" s="65"/>
      <c r="P252" s="65"/>
      <c r="Q252" s="65"/>
      <c r="R252" s="65"/>
      <c r="S252" s="65"/>
      <c r="T252" s="67"/>
      <c r="U252" s="67">
        <v>2557</v>
      </c>
      <c r="V252" s="68" t="s">
        <v>2216</v>
      </c>
      <c r="W252" s="69" t="e">
        <v>#REF!</v>
      </c>
      <c r="X252" s="70"/>
      <c r="Y252" s="70"/>
      <c r="Z252" s="70"/>
      <c r="AA252" s="429"/>
      <c r="AB252" s="429"/>
      <c r="AC252" s="429"/>
      <c r="AD252" s="429"/>
      <c r="AE252" s="429"/>
      <c r="AF252" s="429"/>
      <c r="AG252" s="429"/>
      <c r="AH252" s="429"/>
      <c r="AI252" s="429"/>
      <c r="AJ252" s="429"/>
      <c r="AK252" s="429"/>
      <c r="AL252" s="429"/>
      <c r="AM252" s="429"/>
    </row>
    <row r="253" spans="1:39">
      <c r="A253" s="50"/>
      <c r="B253" s="52">
        <v>6115</v>
      </c>
      <c r="C253" s="53" t="s">
        <v>37</v>
      </c>
      <c r="D253" s="55" t="s">
        <v>1115</v>
      </c>
      <c r="E253" s="53">
        <v>60</v>
      </c>
      <c r="F253" s="56" t="s">
        <v>1116</v>
      </c>
      <c r="G253" s="57" t="s">
        <v>78</v>
      </c>
      <c r="H253" s="58">
        <v>20000</v>
      </c>
      <c r="I253" s="59"/>
      <c r="J253" s="60" t="s">
        <v>2460</v>
      </c>
      <c r="K253" s="61"/>
      <c r="L253" s="62"/>
      <c r="M253" s="64"/>
      <c r="N253" s="65"/>
      <c r="O253" s="65"/>
      <c r="P253" s="65"/>
      <c r="Q253" s="65"/>
      <c r="R253" s="65"/>
      <c r="S253" s="65"/>
      <c r="T253" s="67"/>
      <c r="U253" s="67">
        <v>2558</v>
      </c>
      <c r="V253" s="68" t="s">
        <v>2216</v>
      </c>
      <c r="W253" s="69" t="e">
        <v>#REF!</v>
      </c>
      <c r="X253" s="70"/>
      <c r="Y253" s="70"/>
      <c r="Z253" s="70"/>
      <c r="AA253" s="429"/>
      <c r="AB253" s="429"/>
      <c r="AC253" s="429"/>
      <c r="AD253" s="429"/>
      <c r="AE253" s="429"/>
      <c r="AF253" s="429"/>
      <c r="AG253" s="429"/>
      <c r="AH253" s="429"/>
      <c r="AI253" s="429"/>
      <c r="AJ253" s="429"/>
      <c r="AK253" s="429"/>
      <c r="AL253" s="429"/>
      <c r="AM253" s="429"/>
    </row>
    <row r="254" spans="1:39">
      <c r="A254" s="50"/>
      <c r="B254" s="52">
        <v>6125</v>
      </c>
      <c r="C254" s="53" t="s">
        <v>372</v>
      </c>
      <c r="D254" s="55" t="s">
        <v>1120</v>
      </c>
      <c r="E254" s="53">
        <v>54</v>
      </c>
      <c r="F254" s="56" t="s">
        <v>1121</v>
      </c>
      <c r="G254" s="57" t="s">
        <v>78</v>
      </c>
      <c r="H254" s="58">
        <v>125000</v>
      </c>
      <c r="I254" s="59"/>
      <c r="J254" s="60" t="s">
        <v>2462</v>
      </c>
      <c r="K254" s="623" t="s">
        <v>2462</v>
      </c>
      <c r="L254" s="62">
        <v>6125356815196</v>
      </c>
      <c r="M254" s="64"/>
      <c r="N254" s="65"/>
      <c r="O254" s="65"/>
      <c r="P254" s="65"/>
      <c r="Q254" s="65"/>
      <c r="R254" s="65"/>
      <c r="S254" s="65"/>
      <c r="T254" s="67">
        <v>15</v>
      </c>
      <c r="U254" s="67">
        <v>2567</v>
      </c>
      <c r="V254" s="68" t="s">
        <v>2216</v>
      </c>
      <c r="W254" s="69" t="e">
        <v>#REF!</v>
      </c>
      <c r="X254" s="70" t="s">
        <v>548</v>
      </c>
      <c r="Y254" s="70"/>
      <c r="Z254" s="70"/>
      <c r="AA254" s="429"/>
      <c r="AB254" s="429"/>
      <c r="AC254" s="429"/>
      <c r="AD254" s="429"/>
      <c r="AE254" s="429"/>
      <c r="AF254" s="429"/>
      <c r="AG254" s="429"/>
      <c r="AH254" s="429"/>
      <c r="AI254" s="429"/>
      <c r="AJ254" s="429"/>
      <c r="AK254" s="429"/>
      <c r="AL254" s="429"/>
      <c r="AM254" s="429"/>
    </row>
    <row r="255" spans="1:39">
      <c r="A255" s="50"/>
      <c r="B255" s="52">
        <v>6125</v>
      </c>
      <c r="C255" s="53" t="s">
        <v>372</v>
      </c>
      <c r="D255" s="55" t="s">
        <v>1125</v>
      </c>
      <c r="E255" s="53">
        <v>54</v>
      </c>
      <c r="F255" s="56" t="s">
        <v>1126</v>
      </c>
      <c r="G255" s="57" t="s">
        <v>78</v>
      </c>
      <c r="H255" s="58">
        <v>72000</v>
      </c>
      <c r="I255" s="59"/>
      <c r="J255" s="60" t="s">
        <v>2462</v>
      </c>
      <c r="K255" s="623" t="s">
        <v>2462</v>
      </c>
      <c r="L255" s="62"/>
      <c r="M255" s="64"/>
      <c r="N255" s="65"/>
      <c r="O255" s="65"/>
      <c r="P255" s="65"/>
      <c r="Q255" s="65"/>
      <c r="R255" s="65"/>
      <c r="S255" s="65"/>
      <c r="T255" s="67">
        <v>15</v>
      </c>
      <c r="U255" s="67">
        <v>2567</v>
      </c>
      <c r="V255" s="68" t="s">
        <v>2216</v>
      </c>
      <c r="W255" s="69" t="e">
        <v>#REF!</v>
      </c>
      <c r="X255" s="70" t="s">
        <v>548</v>
      </c>
      <c r="Y255" s="70"/>
      <c r="Z255" s="70"/>
      <c r="AA255" s="429"/>
      <c r="AB255" s="429"/>
      <c r="AC255" s="429"/>
      <c r="AD255" s="429"/>
      <c r="AE255" s="429"/>
      <c r="AF255" s="429"/>
      <c r="AG255" s="429"/>
      <c r="AH255" s="429"/>
      <c r="AI255" s="429"/>
      <c r="AJ255" s="429"/>
      <c r="AK255" s="429"/>
      <c r="AL255" s="429"/>
      <c r="AM255" s="429"/>
    </row>
    <row r="256" spans="1:39">
      <c r="A256" s="50"/>
      <c r="B256" s="52">
        <v>6125</v>
      </c>
      <c r="C256" s="53" t="s">
        <v>37</v>
      </c>
      <c r="D256" s="55" t="s">
        <v>1127</v>
      </c>
      <c r="E256" s="53">
        <v>61</v>
      </c>
      <c r="F256" s="56" t="s">
        <v>1128</v>
      </c>
      <c r="G256" s="57" t="s">
        <v>78</v>
      </c>
      <c r="H256" s="58">
        <v>1150000</v>
      </c>
      <c r="I256" s="59"/>
      <c r="J256" s="60" t="s">
        <v>2462</v>
      </c>
      <c r="K256" s="61"/>
      <c r="L256" s="62"/>
      <c r="M256" s="64"/>
      <c r="N256" s="65"/>
      <c r="O256" s="65"/>
      <c r="P256" s="65"/>
      <c r="Q256" s="65"/>
      <c r="R256" s="65"/>
      <c r="S256" s="65"/>
      <c r="T256" s="67"/>
      <c r="U256" s="67"/>
      <c r="V256" s="68" t="s">
        <v>2216</v>
      </c>
      <c r="W256" s="69" t="e">
        <v>#REF!</v>
      </c>
      <c r="X256" s="70"/>
      <c r="Y256" s="70"/>
      <c r="Z256" s="70"/>
      <c r="AA256" s="429"/>
      <c r="AB256" s="429"/>
      <c r="AC256" s="429"/>
      <c r="AD256" s="429"/>
      <c r="AE256" s="429"/>
      <c r="AF256" s="429"/>
      <c r="AG256" s="429"/>
      <c r="AH256" s="429"/>
      <c r="AI256" s="429"/>
      <c r="AJ256" s="429"/>
      <c r="AK256" s="429"/>
      <c r="AL256" s="429"/>
      <c r="AM256" s="429"/>
    </row>
    <row r="257" spans="1:39">
      <c r="A257" s="50"/>
      <c r="B257" s="52">
        <v>6125</v>
      </c>
      <c r="C257" s="53" t="s">
        <v>37</v>
      </c>
      <c r="D257" s="55" t="s">
        <v>1129</v>
      </c>
      <c r="E257" s="53">
        <v>61</v>
      </c>
      <c r="F257" s="56" t="s">
        <v>1130</v>
      </c>
      <c r="G257" s="57" t="s">
        <v>78</v>
      </c>
      <c r="H257" s="58">
        <v>850000</v>
      </c>
      <c r="I257" s="59"/>
      <c r="J257" s="60" t="s">
        <v>2462</v>
      </c>
      <c r="K257" s="61"/>
      <c r="L257" s="62"/>
      <c r="M257" s="64"/>
      <c r="N257" s="65"/>
      <c r="O257" s="65"/>
      <c r="P257" s="65"/>
      <c r="Q257" s="65"/>
      <c r="R257" s="65"/>
      <c r="S257" s="65"/>
      <c r="T257" s="67"/>
      <c r="U257" s="67"/>
      <c r="V257" s="68" t="s">
        <v>2216</v>
      </c>
      <c r="W257" s="69" t="e">
        <v>#REF!</v>
      </c>
      <c r="X257" s="70"/>
      <c r="Y257" s="70"/>
      <c r="Z257" s="70"/>
      <c r="AA257" s="429"/>
      <c r="AB257" s="429"/>
      <c r="AC257" s="429"/>
      <c r="AD257" s="429"/>
      <c r="AE257" s="429"/>
      <c r="AF257" s="429"/>
      <c r="AG257" s="429"/>
      <c r="AH257" s="429"/>
      <c r="AI257" s="429"/>
      <c r="AJ257" s="429"/>
      <c r="AK257" s="429"/>
      <c r="AL257" s="429"/>
      <c r="AM257" s="429"/>
    </row>
    <row r="258" spans="1:39">
      <c r="A258" s="50"/>
      <c r="B258" s="52">
        <v>6125</v>
      </c>
      <c r="C258" s="53" t="s">
        <v>372</v>
      </c>
      <c r="D258" s="55" t="s">
        <v>1131</v>
      </c>
      <c r="E258" s="53">
        <v>53</v>
      </c>
      <c r="F258" s="56" t="s">
        <v>1132</v>
      </c>
      <c r="G258" s="57" t="s">
        <v>78</v>
      </c>
      <c r="H258" s="58">
        <v>250000</v>
      </c>
      <c r="I258" s="59"/>
      <c r="J258" s="60" t="s">
        <v>2462</v>
      </c>
      <c r="K258" s="623" t="s">
        <v>2462</v>
      </c>
      <c r="L258" s="62">
        <v>6125356815198</v>
      </c>
      <c r="M258" s="64"/>
      <c r="N258" s="65"/>
      <c r="O258" s="65"/>
      <c r="P258" s="65"/>
      <c r="Q258" s="65"/>
      <c r="R258" s="65"/>
      <c r="S258" s="65"/>
      <c r="T258" s="67">
        <v>15</v>
      </c>
      <c r="U258" s="67">
        <v>2566</v>
      </c>
      <c r="V258" s="68" t="s">
        <v>2216</v>
      </c>
      <c r="W258" s="69" t="e">
        <v>#REF!</v>
      </c>
      <c r="X258" s="70" t="s">
        <v>548</v>
      </c>
      <c r="Y258" s="70"/>
      <c r="Z258" s="70"/>
      <c r="AA258" s="429"/>
      <c r="AB258" s="429"/>
      <c r="AC258" s="429"/>
      <c r="AD258" s="429"/>
      <c r="AE258" s="429"/>
      <c r="AF258" s="429"/>
      <c r="AG258" s="429"/>
      <c r="AH258" s="429"/>
      <c r="AI258" s="429"/>
      <c r="AJ258" s="429"/>
      <c r="AK258" s="429"/>
      <c r="AL258" s="429"/>
      <c r="AM258" s="429"/>
    </row>
    <row r="259" spans="1:39">
      <c r="A259" s="50"/>
      <c r="B259" s="52">
        <v>6125</v>
      </c>
      <c r="C259" s="53" t="s">
        <v>372</v>
      </c>
      <c r="D259" s="55" t="s">
        <v>1133</v>
      </c>
      <c r="E259" s="53">
        <v>53</v>
      </c>
      <c r="F259" s="56" t="s">
        <v>1134</v>
      </c>
      <c r="G259" s="57" t="s">
        <v>78</v>
      </c>
      <c r="H259" s="58">
        <v>80000</v>
      </c>
      <c r="I259" s="59"/>
      <c r="J259" s="60" t="s">
        <v>2462</v>
      </c>
      <c r="K259" s="623" t="s">
        <v>2462</v>
      </c>
      <c r="L259" s="62"/>
      <c r="M259" s="64"/>
      <c r="N259" s="65"/>
      <c r="O259" s="65"/>
      <c r="P259" s="65"/>
      <c r="Q259" s="65"/>
      <c r="R259" s="65"/>
      <c r="S259" s="65"/>
      <c r="T259" s="67">
        <v>15</v>
      </c>
      <c r="U259" s="67">
        <v>2566</v>
      </c>
      <c r="V259" s="68" t="s">
        <v>2216</v>
      </c>
      <c r="W259" s="69" t="e">
        <v>#REF!</v>
      </c>
      <c r="X259" s="70" t="s">
        <v>548</v>
      </c>
      <c r="Y259" s="70"/>
      <c r="Z259" s="70"/>
      <c r="AA259" s="429"/>
      <c r="AB259" s="429"/>
      <c r="AC259" s="429"/>
      <c r="AD259" s="429"/>
      <c r="AE259" s="429"/>
      <c r="AF259" s="429"/>
      <c r="AG259" s="429"/>
      <c r="AH259" s="429"/>
      <c r="AI259" s="429"/>
      <c r="AJ259" s="429"/>
      <c r="AK259" s="429"/>
      <c r="AL259" s="429"/>
      <c r="AM259" s="429"/>
    </row>
    <row r="260" spans="1:39">
      <c r="A260" s="50"/>
      <c r="B260" s="52">
        <v>6125</v>
      </c>
      <c r="C260" s="53" t="s">
        <v>37</v>
      </c>
      <c r="D260" s="55" t="s">
        <v>1135</v>
      </c>
      <c r="E260" s="53">
        <v>55</v>
      </c>
      <c r="F260" s="56" t="s">
        <v>1136</v>
      </c>
      <c r="G260" s="57" t="s">
        <v>78</v>
      </c>
      <c r="H260" s="58">
        <v>1800000</v>
      </c>
      <c r="I260" s="59"/>
      <c r="J260" s="60" t="s">
        <v>2462</v>
      </c>
      <c r="K260" s="623" t="s">
        <v>2462</v>
      </c>
      <c r="L260" s="62"/>
      <c r="M260" s="64"/>
      <c r="N260" s="65"/>
      <c r="O260" s="65"/>
      <c r="P260" s="65"/>
      <c r="Q260" s="65"/>
      <c r="R260" s="65"/>
      <c r="S260" s="65"/>
      <c r="T260" s="67">
        <v>15</v>
      </c>
      <c r="U260" s="67">
        <v>2568</v>
      </c>
      <c r="V260" s="68" t="s">
        <v>2216</v>
      </c>
      <c r="W260" s="69" t="e">
        <v>#REF!</v>
      </c>
      <c r="X260" s="70"/>
      <c r="Y260" s="70"/>
      <c r="Z260" s="70"/>
      <c r="AA260" s="429"/>
      <c r="AB260" s="429"/>
      <c r="AC260" s="429"/>
      <c r="AD260" s="429"/>
      <c r="AE260" s="429"/>
      <c r="AF260" s="429"/>
      <c r="AG260" s="429"/>
      <c r="AH260" s="429"/>
      <c r="AI260" s="429"/>
      <c r="AJ260" s="429"/>
      <c r="AK260" s="429"/>
      <c r="AL260" s="429"/>
      <c r="AM260" s="429"/>
    </row>
    <row r="261" spans="1:39">
      <c r="A261" s="50"/>
      <c r="B261" s="52">
        <v>6125</v>
      </c>
      <c r="C261" s="53" t="s">
        <v>37</v>
      </c>
      <c r="D261" s="55" t="s">
        <v>1137</v>
      </c>
      <c r="E261" s="53">
        <v>55</v>
      </c>
      <c r="F261" s="56" t="s">
        <v>1138</v>
      </c>
      <c r="G261" s="57" t="s">
        <v>78</v>
      </c>
      <c r="H261" s="58">
        <v>2500000</v>
      </c>
      <c r="I261" s="59"/>
      <c r="J261" s="60" t="s">
        <v>2462</v>
      </c>
      <c r="K261" s="623" t="s">
        <v>2462</v>
      </c>
      <c r="L261" s="62"/>
      <c r="M261" s="64"/>
      <c r="N261" s="65"/>
      <c r="O261" s="65"/>
      <c r="P261" s="65"/>
      <c r="Q261" s="65"/>
      <c r="R261" s="65"/>
      <c r="S261" s="65"/>
      <c r="T261" s="67">
        <v>15</v>
      </c>
      <c r="U261" s="67">
        <v>2568</v>
      </c>
      <c r="V261" s="68" t="s">
        <v>2216</v>
      </c>
      <c r="W261" s="69" t="e">
        <v>#REF!</v>
      </c>
      <c r="X261" s="70"/>
      <c r="Y261" s="70"/>
      <c r="Z261" s="70"/>
      <c r="AA261" s="429"/>
      <c r="AB261" s="429"/>
      <c r="AC261" s="429"/>
      <c r="AD261" s="429"/>
      <c r="AE261" s="429"/>
      <c r="AF261" s="429"/>
      <c r="AG261" s="429"/>
      <c r="AH261" s="429"/>
      <c r="AI261" s="429"/>
      <c r="AJ261" s="429"/>
      <c r="AK261" s="429"/>
      <c r="AL261" s="429"/>
      <c r="AM261" s="429"/>
    </row>
    <row r="262" spans="1:39">
      <c r="A262" s="50"/>
      <c r="B262" s="52">
        <v>6130</v>
      </c>
      <c r="C262" s="53" t="s">
        <v>157</v>
      </c>
      <c r="D262" s="55" t="s">
        <v>1139</v>
      </c>
      <c r="E262" s="53">
        <v>56</v>
      </c>
      <c r="F262" s="56" t="s">
        <v>1140</v>
      </c>
      <c r="G262" s="57" t="s">
        <v>78</v>
      </c>
      <c r="H262" s="58">
        <v>9500</v>
      </c>
      <c r="I262" s="59"/>
      <c r="J262" s="60" t="s">
        <v>2464</v>
      </c>
      <c r="K262" s="623" t="s">
        <v>2464</v>
      </c>
      <c r="L262" s="62"/>
      <c r="M262" s="64"/>
      <c r="N262" s="65"/>
      <c r="O262" s="65"/>
      <c r="P262" s="65"/>
      <c r="Q262" s="65"/>
      <c r="R262" s="65"/>
      <c r="S262" s="65"/>
      <c r="T262" s="67">
        <v>15</v>
      </c>
      <c r="U262" s="67">
        <v>2569</v>
      </c>
      <c r="V262" s="68" t="s">
        <v>2216</v>
      </c>
      <c r="W262" s="69" t="e">
        <v>#REF!</v>
      </c>
      <c r="X262" s="70"/>
      <c r="Y262" s="70"/>
      <c r="Z262" s="70"/>
      <c r="AA262" s="429"/>
      <c r="AB262" s="429"/>
      <c r="AC262" s="429"/>
      <c r="AD262" s="429"/>
      <c r="AE262" s="429"/>
      <c r="AF262" s="429"/>
      <c r="AG262" s="429"/>
      <c r="AH262" s="429"/>
      <c r="AI262" s="429"/>
      <c r="AJ262" s="429"/>
      <c r="AK262" s="429"/>
      <c r="AL262" s="429"/>
      <c r="AM262" s="429"/>
    </row>
    <row r="263" spans="1:39">
      <c r="A263" s="50"/>
      <c r="B263" s="52">
        <v>6130</v>
      </c>
      <c r="C263" s="53" t="s">
        <v>157</v>
      </c>
      <c r="D263" s="55" t="s">
        <v>1141</v>
      </c>
      <c r="E263" s="53">
        <v>54</v>
      </c>
      <c r="F263" s="56" t="s">
        <v>1142</v>
      </c>
      <c r="G263" s="57" t="s">
        <v>78</v>
      </c>
      <c r="H263" s="58">
        <v>12500</v>
      </c>
      <c r="I263" s="59"/>
      <c r="J263" s="60" t="s">
        <v>2464</v>
      </c>
      <c r="K263" s="623" t="s">
        <v>2464</v>
      </c>
      <c r="L263" s="62"/>
      <c r="M263" s="64"/>
      <c r="N263" s="65"/>
      <c r="O263" s="65"/>
      <c r="P263" s="65"/>
      <c r="Q263" s="65"/>
      <c r="R263" s="65"/>
      <c r="S263" s="65"/>
      <c r="T263" s="67">
        <v>15</v>
      </c>
      <c r="U263" s="67">
        <v>2567</v>
      </c>
      <c r="V263" s="68" t="s">
        <v>2216</v>
      </c>
      <c r="W263" s="69" t="e">
        <v>#REF!</v>
      </c>
      <c r="X263" s="70"/>
      <c r="Y263" s="70"/>
      <c r="Z263" s="70"/>
      <c r="AA263" s="429"/>
      <c r="AB263" s="429"/>
      <c r="AC263" s="429"/>
      <c r="AD263" s="429"/>
      <c r="AE263" s="429"/>
      <c r="AF263" s="429"/>
      <c r="AG263" s="429"/>
      <c r="AH263" s="429"/>
      <c r="AI263" s="429"/>
      <c r="AJ263" s="429"/>
      <c r="AK263" s="429"/>
      <c r="AL263" s="429"/>
      <c r="AM263" s="429"/>
    </row>
    <row r="264" spans="1:39">
      <c r="A264" s="50"/>
      <c r="B264" s="52">
        <v>6130</v>
      </c>
      <c r="C264" s="53" t="s">
        <v>372</v>
      </c>
      <c r="D264" s="55" t="s">
        <v>1143</v>
      </c>
      <c r="E264" s="53">
        <v>56</v>
      </c>
      <c r="F264" s="56" t="s">
        <v>1144</v>
      </c>
      <c r="G264" s="57" t="s">
        <v>78</v>
      </c>
      <c r="H264" s="58">
        <v>27200</v>
      </c>
      <c r="I264" s="59"/>
      <c r="J264" s="60" t="s">
        <v>2464</v>
      </c>
      <c r="K264" s="623" t="s">
        <v>2464</v>
      </c>
      <c r="L264" s="62"/>
      <c r="M264" s="64"/>
      <c r="N264" s="65"/>
      <c r="O264" s="65"/>
      <c r="P264" s="65"/>
      <c r="Q264" s="65"/>
      <c r="R264" s="65"/>
      <c r="S264" s="65"/>
      <c r="T264" s="67"/>
      <c r="U264" s="67"/>
      <c r="V264" s="68"/>
      <c r="W264" s="69"/>
      <c r="X264" s="70"/>
      <c r="Y264" s="70"/>
      <c r="Z264" s="70"/>
      <c r="AA264" s="429"/>
      <c r="AB264" s="429"/>
      <c r="AC264" s="429"/>
      <c r="AD264" s="429"/>
      <c r="AE264" s="429"/>
      <c r="AF264" s="429"/>
      <c r="AG264" s="429"/>
      <c r="AH264" s="429"/>
      <c r="AI264" s="429"/>
      <c r="AJ264" s="429"/>
      <c r="AK264" s="429"/>
      <c r="AL264" s="429"/>
      <c r="AM264" s="429"/>
    </row>
    <row r="265" spans="1:39">
      <c r="A265" s="50"/>
      <c r="B265" s="52">
        <v>6130</v>
      </c>
      <c r="C265" s="53" t="s">
        <v>372</v>
      </c>
      <c r="D265" s="55" t="s">
        <v>1145</v>
      </c>
      <c r="E265" s="53">
        <v>56</v>
      </c>
      <c r="F265" s="56" t="s">
        <v>1146</v>
      </c>
      <c r="G265" s="57" t="s">
        <v>78</v>
      </c>
      <c r="H265" s="58">
        <v>13500</v>
      </c>
      <c r="I265" s="59"/>
      <c r="J265" s="60" t="s">
        <v>2464</v>
      </c>
      <c r="K265" s="623" t="s">
        <v>2464</v>
      </c>
      <c r="L265" s="62"/>
      <c r="M265" s="64"/>
      <c r="N265" s="65"/>
      <c r="O265" s="65"/>
      <c r="P265" s="65"/>
      <c r="Q265" s="65"/>
      <c r="R265" s="65"/>
      <c r="S265" s="65"/>
      <c r="T265" s="67">
        <v>15</v>
      </c>
      <c r="U265" s="67">
        <v>2569</v>
      </c>
      <c r="V265" s="68" t="s">
        <v>2216</v>
      </c>
      <c r="W265" s="69" t="e">
        <v>#REF!</v>
      </c>
      <c r="X265" s="70" t="s">
        <v>548</v>
      </c>
      <c r="Y265" s="70"/>
      <c r="Z265" s="70"/>
      <c r="AA265" s="429"/>
      <c r="AB265" s="429"/>
      <c r="AC265" s="429"/>
      <c r="AD265" s="429"/>
      <c r="AE265" s="429"/>
      <c r="AF265" s="429"/>
      <c r="AG265" s="429"/>
      <c r="AH265" s="429"/>
      <c r="AI265" s="429"/>
      <c r="AJ265" s="429"/>
      <c r="AK265" s="429"/>
      <c r="AL265" s="429"/>
      <c r="AM265" s="429"/>
    </row>
    <row r="266" spans="1:39">
      <c r="A266" s="50"/>
      <c r="B266" s="52">
        <v>6150</v>
      </c>
      <c r="C266" s="53" t="s">
        <v>37</v>
      </c>
      <c r="D266" s="55" t="s">
        <v>1147</v>
      </c>
      <c r="E266" s="53">
        <v>58</v>
      </c>
      <c r="F266" s="56" t="s">
        <v>1148</v>
      </c>
      <c r="G266" s="57" t="s">
        <v>53</v>
      </c>
      <c r="H266" s="58"/>
      <c r="I266" s="59"/>
      <c r="J266" s="60" t="s">
        <v>2465</v>
      </c>
      <c r="K266" s="623" t="s">
        <v>2465</v>
      </c>
      <c r="L266" s="62"/>
      <c r="M266" s="64"/>
      <c r="N266" s="65"/>
      <c r="O266" s="65"/>
      <c r="P266" s="65"/>
      <c r="Q266" s="65"/>
      <c r="R266" s="65"/>
      <c r="S266" s="65"/>
      <c r="T266" s="67">
        <v>15</v>
      </c>
      <c r="U266" s="67">
        <v>2571</v>
      </c>
      <c r="V266" s="68" t="s">
        <v>2216</v>
      </c>
      <c r="W266" s="69" t="e">
        <v>#REF!</v>
      </c>
      <c r="X266" s="70"/>
      <c r="Y266" s="70"/>
      <c r="Z266" s="70"/>
      <c r="AA266" s="429"/>
      <c r="AB266" s="429"/>
      <c r="AC266" s="429"/>
      <c r="AD266" s="429"/>
      <c r="AE266" s="429"/>
      <c r="AF266" s="429"/>
      <c r="AG266" s="429"/>
      <c r="AH266" s="429"/>
      <c r="AI266" s="429"/>
      <c r="AJ266" s="429"/>
      <c r="AK266" s="429"/>
      <c r="AL266" s="429"/>
      <c r="AM266" s="429"/>
    </row>
    <row r="267" spans="1:39">
      <c r="A267" s="50"/>
      <c r="B267" s="52">
        <v>6150</v>
      </c>
      <c r="C267" s="53" t="s">
        <v>37</v>
      </c>
      <c r="D267" s="55" t="s">
        <v>1149</v>
      </c>
      <c r="E267" s="53">
        <v>58</v>
      </c>
      <c r="F267" s="56" t="s">
        <v>1150</v>
      </c>
      <c r="G267" s="57" t="s">
        <v>53</v>
      </c>
      <c r="H267" s="58">
        <v>390000</v>
      </c>
      <c r="I267" s="59"/>
      <c r="J267" s="60" t="s">
        <v>2465</v>
      </c>
      <c r="K267" s="623" t="s">
        <v>2465</v>
      </c>
      <c r="L267" s="62"/>
      <c r="M267" s="64"/>
      <c r="N267" s="65"/>
      <c r="O267" s="65"/>
      <c r="P267" s="65"/>
      <c r="Q267" s="65"/>
      <c r="R267" s="65"/>
      <c r="S267" s="65"/>
      <c r="T267" s="67">
        <v>15</v>
      </c>
      <c r="U267" s="67">
        <v>2571</v>
      </c>
      <c r="V267" s="68" t="s">
        <v>2216</v>
      </c>
      <c r="W267" s="69" t="e">
        <v>#REF!</v>
      </c>
      <c r="X267" s="70"/>
      <c r="Y267" s="70"/>
      <c r="Z267" s="70"/>
      <c r="AA267" s="429"/>
      <c r="AB267" s="429"/>
      <c r="AC267" s="429"/>
      <c r="AD267" s="429"/>
      <c r="AE267" s="429"/>
      <c r="AF267" s="429"/>
      <c r="AG267" s="429"/>
      <c r="AH267" s="429"/>
      <c r="AI267" s="429"/>
      <c r="AJ267" s="429"/>
      <c r="AK267" s="429"/>
      <c r="AL267" s="429"/>
      <c r="AM267" s="429"/>
    </row>
    <row r="268" spans="1:39">
      <c r="A268" s="50"/>
      <c r="B268" s="52">
        <v>6150</v>
      </c>
      <c r="C268" s="53" t="s">
        <v>37</v>
      </c>
      <c r="D268" s="55" t="s">
        <v>1151</v>
      </c>
      <c r="E268" s="53">
        <v>55</v>
      </c>
      <c r="F268" s="56" t="s">
        <v>1152</v>
      </c>
      <c r="G268" s="57" t="s">
        <v>78</v>
      </c>
      <c r="H268" s="58">
        <v>38000</v>
      </c>
      <c r="I268" s="59"/>
      <c r="J268" s="60" t="s">
        <v>2465</v>
      </c>
      <c r="K268" s="623" t="s">
        <v>2465</v>
      </c>
      <c r="L268" s="62"/>
      <c r="M268" s="64"/>
      <c r="N268" s="65"/>
      <c r="O268" s="65"/>
      <c r="P268" s="65"/>
      <c r="Q268" s="65"/>
      <c r="R268" s="65"/>
      <c r="S268" s="65"/>
      <c r="T268" s="67">
        <v>15</v>
      </c>
      <c r="U268" s="67">
        <v>2568</v>
      </c>
      <c r="V268" s="68" t="s">
        <v>2216</v>
      </c>
      <c r="W268" s="69" t="e">
        <v>#REF!</v>
      </c>
      <c r="X268" s="70"/>
      <c r="Y268" s="70"/>
      <c r="Z268" s="70"/>
      <c r="AA268" s="429"/>
      <c r="AB268" s="429"/>
      <c r="AC268" s="429"/>
      <c r="AD268" s="429"/>
      <c r="AE268" s="429"/>
      <c r="AF268" s="429"/>
      <c r="AG268" s="429"/>
      <c r="AH268" s="429"/>
      <c r="AI268" s="429"/>
      <c r="AJ268" s="429"/>
      <c r="AK268" s="429"/>
      <c r="AL268" s="429"/>
      <c r="AM268" s="429"/>
    </row>
    <row r="269" spans="1:39">
      <c r="A269" s="629"/>
      <c r="B269" s="629">
        <v>6200</v>
      </c>
      <c r="C269" s="625"/>
      <c r="D269" s="633" t="s">
        <v>4098</v>
      </c>
      <c r="E269" s="37"/>
      <c r="F269" s="629"/>
      <c r="G269" s="629"/>
      <c r="H269" s="629"/>
      <c r="I269" s="625"/>
      <c r="J269" s="625"/>
      <c r="K269" s="37"/>
      <c r="L269" s="37"/>
      <c r="M269" s="629"/>
      <c r="N269" s="629"/>
      <c r="O269" s="629"/>
      <c r="P269" s="625"/>
      <c r="Q269" s="625"/>
      <c r="R269" s="37"/>
      <c r="S269" s="37"/>
      <c r="T269" s="629"/>
      <c r="U269" s="629"/>
      <c r="V269" s="37" t="s">
        <v>2218</v>
      </c>
      <c r="W269" s="37">
        <v>6</v>
      </c>
      <c r="X269" s="625"/>
      <c r="Y269" s="37"/>
      <c r="Z269" s="37"/>
      <c r="AA269" s="426"/>
      <c r="AB269" s="426"/>
      <c r="AC269" s="426"/>
      <c r="AD269" s="426"/>
      <c r="AE269" s="426"/>
      <c r="AF269" s="426"/>
      <c r="AG269" s="426"/>
      <c r="AH269" s="426"/>
      <c r="AI269" s="426"/>
      <c r="AJ269" s="426"/>
      <c r="AK269" s="426"/>
      <c r="AL269" s="426"/>
      <c r="AM269" s="426"/>
    </row>
    <row r="270" spans="1:39">
      <c r="A270" s="50"/>
      <c r="B270" s="52">
        <v>6210</v>
      </c>
      <c r="C270" s="53" t="s">
        <v>37</v>
      </c>
      <c r="D270" s="55" t="s">
        <v>1153</v>
      </c>
      <c r="E270" s="53">
        <v>58</v>
      </c>
      <c r="F270" s="56" t="s">
        <v>1154</v>
      </c>
      <c r="G270" s="57" t="s">
        <v>53</v>
      </c>
      <c r="H270" s="58">
        <v>25000</v>
      </c>
      <c r="I270" s="59"/>
      <c r="J270" s="60" t="s">
        <v>2466</v>
      </c>
      <c r="K270" s="623" t="s">
        <v>2466</v>
      </c>
      <c r="L270" s="62"/>
      <c r="M270" s="64"/>
      <c r="N270" s="65"/>
      <c r="O270" s="65"/>
      <c r="P270" s="65"/>
      <c r="Q270" s="65"/>
      <c r="R270" s="65"/>
      <c r="S270" s="65"/>
      <c r="T270" s="67">
        <v>15</v>
      </c>
      <c r="U270" s="67">
        <v>2571</v>
      </c>
      <c r="V270" s="68" t="s">
        <v>2218</v>
      </c>
      <c r="W270" s="69" t="e">
        <v>#REF!</v>
      </c>
      <c r="X270" s="70"/>
      <c r="Y270" s="70"/>
      <c r="Z270" s="70"/>
      <c r="AA270" s="429"/>
      <c r="AB270" s="429"/>
      <c r="AC270" s="429"/>
      <c r="AD270" s="429"/>
      <c r="AE270" s="429"/>
      <c r="AF270" s="429"/>
      <c r="AG270" s="429"/>
      <c r="AH270" s="429"/>
      <c r="AI270" s="429"/>
      <c r="AJ270" s="429"/>
      <c r="AK270" s="429"/>
      <c r="AL270" s="429"/>
      <c r="AM270" s="429"/>
    </row>
    <row r="271" spans="1:39">
      <c r="A271" s="50"/>
      <c r="B271" s="52">
        <v>6210</v>
      </c>
      <c r="C271" s="53" t="s">
        <v>37</v>
      </c>
      <c r="D271" s="55" t="s">
        <v>1155</v>
      </c>
      <c r="E271" s="53">
        <v>58</v>
      </c>
      <c r="F271" s="56" t="s">
        <v>1156</v>
      </c>
      <c r="G271" s="57" t="s">
        <v>53</v>
      </c>
      <c r="H271" s="58">
        <v>25000</v>
      </c>
      <c r="I271" s="59"/>
      <c r="J271" s="60" t="s">
        <v>2466</v>
      </c>
      <c r="K271" s="623" t="s">
        <v>2466</v>
      </c>
      <c r="L271" s="62"/>
      <c r="M271" s="64"/>
      <c r="N271" s="65"/>
      <c r="O271" s="65"/>
      <c r="P271" s="65"/>
      <c r="Q271" s="65"/>
      <c r="R271" s="65"/>
      <c r="S271" s="65"/>
      <c r="T271" s="67">
        <v>15</v>
      </c>
      <c r="U271" s="67">
        <v>2571</v>
      </c>
      <c r="V271" s="68" t="s">
        <v>2218</v>
      </c>
      <c r="W271" s="69" t="e">
        <v>#REF!</v>
      </c>
      <c r="X271" s="70"/>
      <c r="Y271" s="70"/>
      <c r="Z271" s="70"/>
      <c r="AA271" s="429"/>
      <c r="AB271" s="429"/>
      <c r="AC271" s="429"/>
      <c r="AD271" s="429"/>
      <c r="AE271" s="429"/>
      <c r="AF271" s="429"/>
      <c r="AG271" s="429"/>
      <c r="AH271" s="429"/>
      <c r="AI271" s="429"/>
      <c r="AJ271" s="429"/>
      <c r="AK271" s="429"/>
      <c r="AL271" s="429"/>
      <c r="AM271" s="429"/>
    </row>
    <row r="272" spans="1:39">
      <c r="A272" s="50"/>
      <c r="B272" s="52">
        <v>6210</v>
      </c>
      <c r="C272" s="53" t="s">
        <v>37</v>
      </c>
      <c r="D272" s="55" t="s">
        <v>1157</v>
      </c>
      <c r="E272" s="53">
        <v>55</v>
      </c>
      <c r="F272" s="56" t="s">
        <v>1158</v>
      </c>
      <c r="G272" s="57" t="s">
        <v>53</v>
      </c>
      <c r="H272" s="58"/>
      <c r="I272" s="59"/>
      <c r="J272" s="60" t="s">
        <v>2466</v>
      </c>
      <c r="K272" s="623" t="s">
        <v>2466</v>
      </c>
      <c r="L272" s="62"/>
      <c r="M272" s="64"/>
      <c r="N272" s="65"/>
      <c r="O272" s="65"/>
      <c r="P272" s="65"/>
      <c r="Q272" s="65"/>
      <c r="R272" s="65"/>
      <c r="S272" s="65"/>
      <c r="T272" s="67">
        <v>15</v>
      </c>
      <c r="U272" s="67">
        <v>2568</v>
      </c>
      <c r="V272" s="68" t="s">
        <v>2218</v>
      </c>
      <c r="W272" s="69" t="e">
        <v>#REF!</v>
      </c>
      <c r="X272" s="70"/>
      <c r="Y272" s="70"/>
      <c r="Z272" s="70"/>
      <c r="AA272" s="429"/>
      <c r="AB272" s="429"/>
      <c r="AC272" s="429"/>
      <c r="AD272" s="429"/>
      <c r="AE272" s="429"/>
      <c r="AF272" s="429"/>
      <c r="AG272" s="429"/>
      <c r="AH272" s="429"/>
      <c r="AI272" s="429"/>
      <c r="AJ272" s="429"/>
      <c r="AK272" s="429"/>
      <c r="AL272" s="429"/>
      <c r="AM272" s="429"/>
    </row>
    <row r="273" spans="1:39">
      <c r="A273" s="50"/>
      <c r="B273" s="52">
        <v>6210</v>
      </c>
      <c r="C273" s="53" t="s">
        <v>37</v>
      </c>
      <c r="D273" s="55" t="s">
        <v>1160</v>
      </c>
      <c r="E273" s="53">
        <v>59</v>
      </c>
      <c r="F273" s="56" t="s">
        <v>1161</v>
      </c>
      <c r="G273" s="57" t="s">
        <v>53</v>
      </c>
      <c r="H273" s="58"/>
      <c r="I273" s="59"/>
      <c r="J273" s="60" t="s">
        <v>2466</v>
      </c>
      <c r="K273" s="61"/>
      <c r="L273" s="62"/>
      <c r="M273" s="64"/>
      <c r="N273" s="65"/>
      <c r="O273" s="65"/>
      <c r="P273" s="65"/>
      <c r="Q273" s="65"/>
      <c r="R273" s="65"/>
      <c r="S273" s="65"/>
      <c r="T273" s="67"/>
      <c r="U273" s="67">
        <v>2557</v>
      </c>
      <c r="V273" s="68" t="s">
        <v>2218</v>
      </c>
      <c r="W273" s="69" t="e">
        <v>#REF!</v>
      </c>
      <c r="X273" s="70"/>
      <c r="Y273" s="70"/>
      <c r="Z273" s="70"/>
      <c r="AA273" s="429"/>
      <c r="AB273" s="429"/>
      <c r="AC273" s="429"/>
      <c r="AD273" s="429"/>
      <c r="AE273" s="429"/>
      <c r="AF273" s="429"/>
      <c r="AG273" s="429"/>
      <c r="AH273" s="429"/>
      <c r="AI273" s="429"/>
      <c r="AJ273" s="429"/>
      <c r="AK273" s="429"/>
      <c r="AL273" s="429"/>
      <c r="AM273" s="429"/>
    </row>
    <row r="274" spans="1:39">
      <c r="A274" s="50"/>
      <c r="B274" s="52">
        <v>6230</v>
      </c>
      <c r="C274" s="53" t="s">
        <v>37</v>
      </c>
      <c r="D274" s="55" t="s">
        <v>1162</v>
      </c>
      <c r="E274" s="53">
        <v>60</v>
      </c>
      <c r="F274" s="56" t="s">
        <v>1163</v>
      </c>
      <c r="G274" s="57" t="s">
        <v>78</v>
      </c>
      <c r="H274" s="58">
        <v>380000</v>
      </c>
      <c r="I274" s="59"/>
      <c r="J274" s="60" t="s">
        <v>2467</v>
      </c>
      <c r="K274" s="61"/>
      <c r="L274" s="62"/>
      <c r="M274" s="64"/>
      <c r="N274" s="65"/>
      <c r="O274" s="65"/>
      <c r="P274" s="65"/>
      <c r="Q274" s="65"/>
      <c r="R274" s="65"/>
      <c r="S274" s="65"/>
      <c r="T274" s="67"/>
      <c r="U274" s="67">
        <v>2558</v>
      </c>
      <c r="V274" s="68" t="s">
        <v>2218</v>
      </c>
      <c r="W274" s="69" t="e">
        <v>#REF!</v>
      </c>
      <c r="X274" s="70"/>
      <c r="Y274" s="70"/>
      <c r="Z274" s="70"/>
      <c r="AA274" s="429"/>
      <c r="AB274" s="429"/>
      <c r="AC274" s="429"/>
      <c r="AD274" s="429"/>
      <c r="AE274" s="429"/>
      <c r="AF274" s="429"/>
      <c r="AG274" s="429"/>
      <c r="AH274" s="429"/>
      <c r="AI274" s="429"/>
      <c r="AJ274" s="429"/>
      <c r="AK274" s="429"/>
      <c r="AL274" s="429"/>
      <c r="AM274" s="429"/>
    </row>
    <row r="275" spans="1:39">
      <c r="A275" s="50"/>
      <c r="B275" s="52">
        <v>6230</v>
      </c>
      <c r="C275" s="53" t="s">
        <v>37</v>
      </c>
      <c r="D275" s="55" t="s">
        <v>1164</v>
      </c>
      <c r="E275" s="53">
        <v>60</v>
      </c>
      <c r="F275" s="56" t="s">
        <v>1165</v>
      </c>
      <c r="G275" s="57" t="s">
        <v>78</v>
      </c>
      <c r="H275" s="58">
        <v>428000</v>
      </c>
      <c r="I275" s="59"/>
      <c r="J275" s="60" t="s">
        <v>2467</v>
      </c>
      <c r="K275" s="61"/>
      <c r="L275" s="62"/>
      <c r="M275" s="64"/>
      <c r="N275" s="65"/>
      <c r="O275" s="65"/>
      <c r="P275" s="65"/>
      <c r="Q275" s="65"/>
      <c r="R275" s="65"/>
      <c r="S275" s="65"/>
      <c r="T275" s="67"/>
      <c r="U275" s="67">
        <v>2558</v>
      </c>
      <c r="V275" s="68" t="s">
        <v>2218</v>
      </c>
      <c r="W275" s="69" t="e">
        <v>#REF!</v>
      </c>
      <c r="X275" s="70"/>
      <c r="Y275" s="70"/>
      <c r="Z275" s="70"/>
      <c r="AA275" s="429"/>
      <c r="AB275" s="429"/>
      <c r="AC275" s="429"/>
      <c r="AD275" s="429"/>
      <c r="AE275" s="429"/>
      <c r="AF275" s="429"/>
      <c r="AG275" s="429"/>
      <c r="AH275" s="429"/>
      <c r="AI275" s="429"/>
      <c r="AJ275" s="429"/>
      <c r="AK275" s="429"/>
      <c r="AL275" s="429"/>
      <c r="AM275" s="429"/>
    </row>
    <row r="276" spans="1:39">
      <c r="A276" s="629"/>
      <c r="B276" s="629">
        <v>6300</v>
      </c>
      <c r="C276" s="625"/>
      <c r="D276" s="633" t="s">
        <v>4099</v>
      </c>
      <c r="E276" s="37"/>
      <c r="F276" s="629"/>
      <c r="G276" s="629"/>
      <c r="H276" s="629"/>
      <c r="I276" s="625"/>
      <c r="J276" s="625"/>
      <c r="K276" s="37"/>
      <c r="L276" s="37"/>
      <c r="M276" s="629"/>
      <c r="N276" s="629"/>
      <c r="O276" s="629"/>
      <c r="P276" s="625"/>
      <c r="Q276" s="625"/>
      <c r="R276" s="37"/>
      <c r="S276" s="37"/>
      <c r="T276" s="629"/>
      <c r="U276" s="629"/>
      <c r="V276" s="37" t="s">
        <v>2220</v>
      </c>
      <c r="W276" s="37">
        <v>0</v>
      </c>
      <c r="X276" s="625"/>
      <c r="Y276" s="37"/>
      <c r="Z276" s="37"/>
      <c r="AA276" s="426"/>
      <c r="AB276" s="426"/>
      <c r="AC276" s="426"/>
      <c r="AD276" s="426"/>
      <c r="AE276" s="426"/>
      <c r="AF276" s="426"/>
      <c r="AG276" s="426"/>
      <c r="AH276" s="426"/>
      <c r="AI276" s="426"/>
      <c r="AJ276" s="426"/>
      <c r="AK276" s="426"/>
      <c r="AL276" s="426"/>
      <c r="AM276" s="426"/>
    </row>
    <row r="277" spans="1:39">
      <c r="A277" s="629"/>
      <c r="B277" s="629">
        <v>6600</v>
      </c>
      <c r="C277" s="625"/>
      <c r="D277" s="633" t="s">
        <v>4100</v>
      </c>
      <c r="E277" s="37"/>
      <c r="F277" s="629"/>
      <c r="G277" s="629"/>
      <c r="H277" s="629"/>
      <c r="I277" s="625"/>
      <c r="J277" s="625"/>
      <c r="K277" s="37"/>
      <c r="L277" s="37"/>
      <c r="M277" s="629"/>
      <c r="N277" s="629"/>
      <c r="O277" s="629"/>
      <c r="P277" s="625"/>
      <c r="Q277" s="625"/>
      <c r="R277" s="37"/>
      <c r="S277" s="37"/>
      <c r="T277" s="629"/>
      <c r="U277" s="629"/>
      <c r="V277" s="37" t="s">
        <v>2228</v>
      </c>
      <c r="W277" s="37">
        <v>29</v>
      </c>
      <c r="X277" s="625"/>
      <c r="Y277" s="37"/>
      <c r="Z277" s="37"/>
      <c r="AA277" s="426"/>
      <c r="AB277" s="426"/>
      <c r="AC277" s="426"/>
      <c r="AD277" s="426"/>
      <c r="AE277" s="426"/>
      <c r="AF277" s="426"/>
      <c r="AG277" s="426"/>
      <c r="AH277" s="426"/>
      <c r="AI277" s="426"/>
      <c r="AJ277" s="426"/>
      <c r="AK277" s="426"/>
      <c r="AL277" s="426"/>
      <c r="AM277" s="426"/>
    </row>
    <row r="278" spans="1:39">
      <c r="A278" s="50"/>
      <c r="B278" s="52">
        <v>6625</v>
      </c>
      <c r="C278" s="53" t="s">
        <v>37</v>
      </c>
      <c r="D278" s="55" t="s">
        <v>1168</v>
      </c>
      <c r="E278" s="53">
        <v>57</v>
      </c>
      <c r="F278" s="56" t="s">
        <v>1169</v>
      </c>
      <c r="G278" s="57" t="s">
        <v>78</v>
      </c>
      <c r="H278" s="58">
        <v>300000</v>
      </c>
      <c r="I278" s="59"/>
      <c r="J278" s="60" t="s">
        <v>2475</v>
      </c>
      <c r="K278" s="623" t="s">
        <v>2475</v>
      </c>
      <c r="L278" s="62"/>
      <c r="M278" s="64"/>
      <c r="N278" s="65"/>
      <c r="O278" s="65"/>
      <c r="P278" s="65"/>
      <c r="Q278" s="65"/>
      <c r="R278" s="65"/>
      <c r="S278" s="65"/>
      <c r="T278" s="67">
        <v>10</v>
      </c>
      <c r="U278" s="67">
        <v>2565</v>
      </c>
      <c r="V278" s="68" t="s">
        <v>2228</v>
      </c>
      <c r="W278" s="69" t="e">
        <v>#REF!</v>
      </c>
      <c r="X278" s="70"/>
      <c r="Y278" s="70"/>
      <c r="Z278" s="70"/>
      <c r="AA278" s="429"/>
      <c r="AB278" s="429"/>
      <c r="AC278" s="429"/>
      <c r="AD278" s="429"/>
      <c r="AE278" s="429"/>
      <c r="AF278" s="429"/>
      <c r="AG278" s="429"/>
      <c r="AH278" s="429"/>
      <c r="AI278" s="429"/>
      <c r="AJ278" s="429"/>
      <c r="AK278" s="429"/>
      <c r="AL278" s="429"/>
      <c r="AM278" s="429"/>
    </row>
    <row r="279" spans="1:39">
      <c r="A279" s="50"/>
      <c r="B279" s="52">
        <v>6630</v>
      </c>
      <c r="C279" s="53" t="s">
        <v>256</v>
      </c>
      <c r="D279" s="55" t="s">
        <v>1170</v>
      </c>
      <c r="E279" s="53">
        <v>54</v>
      </c>
      <c r="F279" s="56" t="s">
        <v>1171</v>
      </c>
      <c r="G279" s="57" t="s">
        <v>78</v>
      </c>
      <c r="H279" s="58">
        <v>20000</v>
      </c>
      <c r="I279" s="59"/>
      <c r="J279" s="60" t="s">
        <v>2478</v>
      </c>
      <c r="K279" s="623" t="s">
        <v>2478</v>
      </c>
      <c r="L279" s="62"/>
      <c r="M279" s="64"/>
      <c r="N279" s="65"/>
      <c r="O279" s="65"/>
      <c r="P279" s="65"/>
      <c r="Q279" s="65"/>
      <c r="R279" s="65"/>
      <c r="S279" s="65"/>
      <c r="T279" s="67">
        <v>10</v>
      </c>
      <c r="U279" s="67">
        <v>2562</v>
      </c>
      <c r="V279" s="68" t="s">
        <v>2228</v>
      </c>
      <c r="W279" s="69" t="e">
        <v>#REF!</v>
      </c>
      <c r="X279" s="70"/>
      <c r="Y279" s="70"/>
      <c r="Z279" s="70"/>
      <c r="AA279" s="429"/>
      <c r="AB279" s="429"/>
      <c r="AC279" s="429"/>
      <c r="AD279" s="429"/>
      <c r="AE279" s="429"/>
      <c r="AF279" s="429"/>
      <c r="AG279" s="429"/>
      <c r="AH279" s="429"/>
      <c r="AI279" s="429"/>
      <c r="AJ279" s="429"/>
      <c r="AK279" s="429"/>
      <c r="AL279" s="429"/>
      <c r="AM279" s="429"/>
    </row>
    <row r="280" spans="1:39">
      <c r="A280" s="50"/>
      <c r="B280" s="52">
        <v>6630</v>
      </c>
      <c r="C280" s="53" t="s">
        <v>256</v>
      </c>
      <c r="D280" s="55" t="s">
        <v>1172</v>
      </c>
      <c r="E280" s="53">
        <v>52</v>
      </c>
      <c r="F280" s="56" t="s">
        <v>1173</v>
      </c>
      <c r="G280" s="57" t="s">
        <v>78</v>
      </c>
      <c r="H280" s="58">
        <v>5000</v>
      </c>
      <c r="I280" s="59"/>
      <c r="J280" s="60" t="s">
        <v>2478</v>
      </c>
      <c r="K280" s="623" t="s">
        <v>2478</v>
      </c>
      <c r="L280" s="62"/>
      <c r="M280" s="64"/>
      <c r="N280" s="65"/>
      <c r="O280" s="65"/>
      <c r="P280" s="65"/>
      <c r="Q280" s="65"/>
      <c r="R280" s="65"/>
      <c r="S280" s="65"/>
      <c r="T280" s="67">
        <v>10</v>
      </c>
      <c r="U280" s="67">
        <v>2560</v>
      </c>
      <c r="V280" s="68" t="s">
        <v>2228</v>
      </c>
      <c r="W280" s="69" t="e">
        <v>#REF!</v>
      </c>
      <c r="X280" s="70"/>
      <c r="Y280" s="70"/>
      <c r="Z280" s="70"/>
      <c r="AA280" s="429"/>
      <c r="AB280" s="429"/>
      <c r="AC280" s="429"/>
      <c r="AD280" s="429"/>
      <c r="AE280" s="429"/>
      <c r="AF280" s="429"/>
      <c r="AG280" s="429"/>
      <c r="AH280" s="429"/>
      <c r="AI280" s="429"/>
      <c r="AJ280" s="429"/>
      <c r="AK280" s="429"/>
      <c r="AL280" s="429"/>
      <c r="AM280" s="429"/>
    </row>
    <row r="281" spans="1:39">
      <c r="A281" s="50"/>
      <c r="B281" s="52">
        <v>6630</v>
      </c>
      <c r="C281" s="53" t="s">
        <v>256</v>
      </c>
      <c r="D281" s="55" t="s">
        <v>1174</v>
      </c>
      <c r="E281" s="53">
        <v>54</v>
      </c>
      <c r="F281" s="56" t="s">
        <v>1175</v>
      </c>
      <c r="G281" s="57" t="s">
        <v>78</v>
      </c>
      <c r="H281" s="58">
        <v>35000</v>
      </c>
      <c r="I281" s="59"/>
      <c r="J281" s="60" t="s">
        <v>2478</v>
      </c>
      <c r="K281" s="623" t="s">
        <v>2478</v>
      </c>
      <c r="L281" s="62"/>
      <c r="M281" s="64"/>
      <c r="N281" s="65"/>
      <c r="O281" s="65"/>
      <c r="P281" s="65"/>
      <c r="Q281" s="65"/>
      <c r="R281" s="65"/>
      <c r="S281" s="65"/>
      <c r="T281" s="67">
        <v>10</v>
      </c>
      <c r="U281" s="67">
        <v>2562</v>
      </c>
      <c r="V281" s="68" t="s">
        <v>2228</v>
      </c>
      <c r="W281" s="69" t="e">
        <v>#REF!</v>
      </c>
      <c r="X281" s="70"/>
      <c r="Y281" s="70"/>
      <c r="Z281" s="70"/>
      <c r="AA281" s="429"/>
      <c r="AB281" s="429"/>
      <c r="AC281" s="429"/>
      <c r="AD281" s="429"/>
      <c r="AE281" s="429"/>
      <c r="AF281" s="429"/>
      <c r="AG281" s="429"/>
      <c r="AH281" s="429"/>
      <c r="AI281" s="429"/>
      <c r="AJ281" s="429"/>
      <c r="AK281" s="429"/>
      <c r="AL281" s="429"/>
      <c r="AM281" s="429"/>
    </row>
    <row r="282" spans="1:39" ht="31.5">
      <c r="A282" s="50"/>
      <c r="B282" s="52">
        <v>6635</v>
      </c>
      <c r="C282" s="53" t="s">
        <v>372</v>
      </c>
      <c r="D282" s="55" t="s">
        <v>1176</v>
      </c>
      <c r="E282" s="53">
        <v>60</v>
      </c>
      <c r="F282" s="56" t="s">
        <v>1177</v>
      </c>
      <c r="G282" s="57" t="s">
        <v>78</v>
      </c>
      <c r="H282" s="58">
        <v>130000</v>
      </c>
      <c r="I282" s="59">
        <v>22044</v>
      </c>
      <c r="J282" s="60" t="s">
        <v>2479</v>
      </c>
      <c r="K282" s="61"/>
      <c r="L282" s="62" t="s">
        <v>1178</v>
      </c>
      <c r="M282" s="64"/>
      <c r="N282" s="65"/>
      <c r="O282" s="65"/>
      <c r="P282" s="65"/>
      <c r="Q282" s="65"/>
      <c r="R282" s="65"/>
      <c r="S282" s="65"/>
      <c r="T282" s="67">
        <v>10</v>
      </c>
      <c r="U282" s="67">
        <v>2568</v>
      </c>
      <c r="V282" s="68" t="s">
        <v>2228</v>
      </c>
      <c r="W282" s="69" t="e">
        <v>#REF!</v>
      </c>
      <c r="X282" s="70" t="s">
        <v>384</v>
      </c>
      <c r="Y282" s="70"/>
      <c r="Z282" s="70"/>
      <c r="AA282" s="429"/>
      <c r="AB282" s="429"/>
      <c r="AC282" s="429"/>
      <c r="AD282" s="429"/>
      <c r="AE282" s="429"/>
      <c r="AF282" s="429"/>
      <c r="AG282" s="429"/>
      <c r="AH282" s="429"/>
      <c r="AI282" s="429"/>
      <c r="AJ282" s="429"/>
      <c r="AK282" s="429"/>
      <c r="AL282" s="429"/>
      <c r="AM282" s="429"/>
    </row>
    <row r="283" spans="1:39">
      <c r="A283" s="50"/>
      <c r="B283" s="52">
        <v>6635</v>
      </c>
      <c r="C283" s="53" t="s">
        <v>372</v>
      </c>
      <c r="D283" s="55" t="s">
        <v>1179</v>
      </c>
      <c r="E283" s="53">
        <v>60</v>
      </c>
      <c r="F283" s="56" t="s">
        <v>817</v>
      </c>
      <c r="G283" s="57" t="s">
        <v>78</v>
      </c>
      <c r="H283" s="58">
        <v>1350000</v>
      </c>
      <c r="I283" s="59">
        <v>22139</v>
      </c>
      <c r="J283" s="60" t="s">
        <v>2479</v>
      </c>
      <c r="K283" s="61"/>
      <c r="L283" s="62" t="s">
        <v>1180</v>
      </c>
      <c r="M283" s="64"/>
      <c r="N283" s="65"/>
      <c r="O283" s="65"/>
      <c r="P283" s="65"/>
      <c r="Q283" s="65"/>
      <c r="R283" s="65"/>
      <c r="S283" s="65"/>
      <c r="T283" s="67">
        <v>10</v>
      </c>
      <c r="U283" s="67">
        <v>2568</v>
      </c>
      <c r="V283" s="68" t="s">
        <v>2228</v>
      </c>
      <c r="W283" s="69" t="e">
        <v>#REF!</v>
      </c>
      <c r="X283" s="70" t="s">
        <v>384</v>
      </c>
      <c r="Y283" s="70"/>
      <c r="Z283" s="70"/>
      <c r="AA283" s="429"/>
      <c r="AB283" s="429"/>
      <c r="AC283" s="429"/>
      <c r="AD283" s="429"/>
      <c r="AE283" s="429"/>
      <c r="AF283" s="429"/>
      <c r="AG283" s="429"/>
      <c r="AH283" s="429"/>
      <c r="AI283" s="429"/>
      <c r="AJ283" s="429"/>
      <c r="AK283" s="429"/>
      <c r="AL283" s="429"/>
      <c r="AM283" s="429"/>
    </row>
    <row r="284" spans="1:39">
      <c r="A284" s="50"/>
      <c r="B284" s="52">
        <v>6635</v>
      </c>
      <c r="C284" s="53" t="s">
        <v>372</v>
      </c>
      <c r="D284" s="55" t="s">
        <v>1181</v>
      </c>
      <c r="E284" s="53">
        <v>61</v>
      </c>
      <c r="F284" s="56" t="s">
        <v>1182</v>
      </c>
      <c r="G284" s="57" t="s">
        <v>78</v>
      </c>
      <c r="H284" s="58">
        <v>990000</v>
      </c>
      <c r="I284" s="59"/>
      <c r="J284" s="60" t="s">
        <v>2479</v>
      </c>
      <c r="K284" s="61"/>
      <c r="L284" s="62">
        <v>6635356816229</v>
      </c>
      <c r="M284" s="64"/>
      <c r="N284" s="65"/>
      <c r="O284" s="65"/>
      <c r="P284" s="65"/>
      <c r="Q284" s="65"/>
      <c r="R284" s="65"/>
      <c r="S284" s="65"/>
      <c r="T284" s="67"/>
      <c r="U284" s="67"/>
      <c r="V284" s="68" t="s">
        <v>2228</v>
      </c>
      <c r="W284" s="69" t="e">
        <v>#REF!</v>
      </c>
      <c r="X284" s="70" t="s">
        <v>384</v>
      </c>
      <c r="Y284" s="70"/>
      <c r="Z284" s="70"/>
      <c r="AA284" s="429"/>
      <c r="AB284" s="429"/>
      <c r="AC284" s="429"/>
      <c r="AD284" s="429"/>
      <c r="AE284" s="429"/>
      <c r="AF284" s="429"/>
      <c r="AG284" s="429"/>
      <c r="AH284" s="429"/>
      <c r="AI284" s="429"/>
      <c r="AJ284" s="429"/>
      <c r="AK284" s="429"/>
      <c r="AL284" s="429"/>
      <c r="AM284" s="429"/>
    </row>
    <row r="285" spans="1:39">
      <c r="A285" s="50"/>
      <c r="B285" s="52">
        <v>6635</v>
      </c>
      <c r="C285" s="53" t="s">
        <v>372</v>
      </c>
      <c r="D285" s="55" t="s">
        <v>1183</v>
      </c>
      <c r="E285" s="53">
        <v>61</v>
      </c>
      <c r="F285" s="56" t="s">
        <v>1184</v>
      </c>
      <c r="G285" s="57" t="s">
        <v>53</v>
      </c>
      <c r="H285" s="58">
        <v>825000</v>
      </c>
      <c r="I285" s="59">
        <v>43258</v>
      </c>
      <c r="J285" s="60" t="s">
        <v>2479</v>
      </c>
      <c r="K285" s="61"/>
      <c r="L285" s="62">
        <v>6675356816708</v>
      </c>
      <c r="M285" s="64"/>
      <c r="N285" s="65"/>
      <c r="O285" s="65"/>
      <c r="P285" s="65"/>
      <c r="Q285" s="65"/>
      <c r="R285" s="65"/>
      <c r="S285" s="65"/>
      <c r="T285" s="67"/>
      <c r="U285" s="67"/>
      <c r="V285" s="68" t="s">
        <v>2228</v>
      </c>
      <c r="W285" s="69" t="e">
        <v>#REF!</v>
      </c>
      <c r="X285" s="70" t="s">
        <v>384</v>
      </c>
      <c r="Y285" s="70"/>
      <c r="Z285" s="70"/>
      <c r="AA285" s="429"/>
      <c r="AB285" s="429"/>
      <c r="AC285" s="429"/>
      <c r="AD285" s="429"/>
      <c r="AE285" s="429"/>
      <c r="AF285" s="429"/>
      <c r="AG285" s="429"/>
      <c r="AH285" s="429"/>
      <c r="AI285" s="429"/>
      <c r="AJ285" s="429"/>
      <c r="AK285" s="429"/>
      <c r="AL285" s="429"/>
      <c r="AM285" s="429"/>
    </row>
    <row r="286" spans="1:39">
      <c r="A286" s="50"/>
      <c r="B286" s="52">
        <v>6635</v>
      </c>
      <c r="C286" s="53" t="s">
        <v>372</v>
      </c>
      <c r="D286" s="55" t="s">
        <v>1185</v>
      </c>
      <c r="E286" s="53">
        <v>60</v>
      </c>
      <c r="F286" s="56" t="s">
        <v>1186</v>
      </c>
      <c r="G286" s="57" t="s">
        <v>53</v>
      </c>
      <c r="H286" s="58">
        <v>160000</v>
      </c>
      <c r="I286" s="59">
        <v>42719</v>
      </c>
      <c r="J286" s="60" t="s">
        <v>2479</v>
      </c>
      <c r="K286" s="61"/>
      <c r="L286" s="62" t="s">
        <v>1187</v>
      </c>
      <c r="M286" s="64"/>
      <c r="N286" s="65"/>
      <c r="O286" s="65"/>
      <c r="P286" s="65"/>
      <c r="Q286" s="65"/>
      <c r="R286" s="65"/>
      <c r="S286" s="65"/>
      <c r="T286" s="67">
        <v>10</v>
      </c>
      <c r="U286" s="67">
        <v>2568</v>
      </c>
      <c r="V286" s="68" t="s">
        <v>2228</v>
      </c>
      <c r="W286" s="69" t="e">
        <v>#REF!</v>
      </c>
      <c r="X286" s="70" t="s">
        <v>384</v>
      </c>
      <c r="Y286" s="70"/>
      <c r="Z286" s="70"/>
      <c r="AA286" s="429"/>
      <c r="AB286" s="429"/>
      <c r="AC286" s="429"/>
      <c r="AD286" s="429"/>
      <c r="AE286" s="429"/>
      <c r="AF286" s="429"/>
      <c r="AG286" s="429"/>
      <c r="AH286" s="429"/>
      <c r="AI286" s="429"/>
      <c r="AJ286" s="429"/>
      <c r="AK286" s="429"/>
      <c r="AL286" s="429"/>
      <c r="AM286" s="429"/>
    </row>
    <row r="287" spans="1:39">
      <c r="A287" s="50"/>
      <c r="B287" s="52">
        <v>6635</v>
      </c>
      <c r="C287" s="53" t="s">
        <v>372</v>
      </c>
      <c r="D287" s="55" t="s">
        <v>1188</v>
      </c>
      <c r="E287" s="53">
        <v>60</v>
      </c>
      <c r="F287" s="56" t="s">
        <v>1189</v>
      </c>
      <c r="G287" s="57" t="s">
        <v>53</v>
      </c>
      <c r="H287" s="58">
        <v>1250000</v>
      </c>
      <c r="I287" s="59">
        <v>42719</v>
      </c>
      <c r="J287" s="60" t="s">
        <v>2479</v>
      </c>
      <c r="K287" s="61"/>
      <c r="L287" s="62" t="s">
        <v>1190</v>
      </c>
      <c r="M287" s="64"/>
      <c r="N287" s="65"/>
      <c r="O287" s="65"/>
      <c r="P287" s="65"/>
      <c r="Q287" s="65"/>
      <c r="R287" s="65"/>
      <c r="S287" s="65"/>
      <c r="T287" s="67">
        <v>10</v>
      </c>
      <c r="U287" s="67">
        <v>2568</v>
      </c>
      <c r="V287" s="68" t="s">
        <v>2228</v>
      </c>
      <c r="W287" s="69" t="e">
        <v>#REF!</v>
      </c>
      <c r="X287" s="70" t="s">
        <v>384</v>
      </c>
      <c r="Y287" s="70"/>
      <c r="Z287" s="70"/>
      <c r="AA287" s="429"/>
      <c r="AB287" s="429"/>
      <c r="AC287" s="429"/>
      <c r="AD287" s="429"/>
      <c r="AE287" s="429"/>
      <c r="AF287" s="429"/>
      <c r="AG287" s="429"/>
      <c r="AH287" s="429"/>
      <c r="AI287" s="429"/>
      <c r="AJ287" s="429"/>
      <c r="AK287" s="429"/>
      <c r="AL287" s="429"/>
      <c r="AM287" s="429"/>
    </row>
    <row r="288" spans="1:39">
      <c r="A288" s="50"/>
      <c r="B288" s="52">
        <v>6635</v>
      </c>
      <c r="C288" s="53" t="s">
        <v>372</v>
      </c>
      <c r="D288" s="55" t="s">
        <v>1191</v>
      </c>
      <c r="E288" s="53">
        <v>56</v>
      </c>
      <c r="F288" s="56" t="s">
        <v>1192</v>
      </c>
      <c r="G288" s="57" t="s">
        <v>53</v>
      </c>
      <c r="H288" s="58">
        <v>150000</v>
      </c>
      <c r="I288" s="59"/>
      <c r="J288" s="60" t="s">
        <v>2479</v>
      </c>
      <c r="K288" s="623" t="s">
        <v>2479</v>
      </c>
      <c r="L288" s="62" t="s">
        <v>1194</v>
      </c>
      <c r="M288" s="64"/>
      <c r="N288" s="65"/>
      <c r="O288" s="65"/>
      <c r="P288" s="65"/>
      <c r="Q288" s="65"/>
      <c r="R288" s="65"/>
      <c r="S288" s="65"/>
      <c r="T288" s="67">
        <v>10</v>
      </c>
      <c r="U288" s="67">
        <v>2564</v>
      </c>
      <c r="V288" s="68" t="s">
        <v>2228</v>
      </c>
      <c r="W288" s="69" t="e">
        <v>#REF!</v>
      </c>
      <c r="X288" s="70" t="s">
        <v>384</v>
      </c>
      <c r="Y288" s="70"/>
      <c r="Z288" s="70"/>
      <c r="AA288" s="429"/>
      <c r="AB288" s="429"/>
      <c r="AC288" s="429"/>
      <c r="AD288" s="429"/>
      <c r="AE288" s="429"/>
      <c r="AF288" s="429"/>
      <c r="AG288" s="429"/>
      <c r="AH288" s="429"/>
      <c r="AI288" s="429"/>
      <c r="AJ288" s="429"/>
      <c r="AK288" s="429"/>
      <c r="AL288" s="429"/>
      <c r="AM288" s="429"/>
    </row>
    <row r="289" spans="1:39" ht="31.5">
      <c r="A289" s="50" t="s">
        <v>1196</v>
      </c>
      <c r="B289" s="52">
        <v>6635</v>
      </c>
      <c r="C289" s="53" t="s">
        <v>372</v>
      </c>
      <c r="D289" s="55" t="s">
        <v>1197</v>
      </c>
      <c r="E289" s="53">
        <v>61</v>
      </c>
      <c r="F289" s="106" t="s">
        <v>1198</v>
      </c>
      <c r="G289" s="57" t="s">
        <v>53</v>
      </c>
      <c r="H289" s="58">
        <v>980000</v>
      </c>
      <c r="I289" s="59">
        <v>241611</v>
      </c>
      <c r="J289" s="101"/>
      <c r="K289" s="61"/>
      <c r="L289" s="107"/>
      <c r="M289" s="106" t="s">
        <v>1199</v>
      </c>
      <c r="N289" s="65" t="s">
        <v>1200</v>
      </c>
      <c r="O289" s="65" t="s">
        <v>1201</v>
      </c>
      <c r="P289" s="65" t="s">
        <v>1202</v>
      </c>
      <c r="Q289" s="65" t="s">
        <v>1203</v>
      </c>
      <c r="R289" s="65" t="s">
        <v>1204</v>
      </c>
      <c r="S289" s="65" t="s">
        <v>1205</v>
      </c>
      <c r="T289" s="108"/>
      <c r="U289" s="67"/>
      <c r="V289" s="68" t="s">
        <v>2228</v>
      </c>
      <c r="W289" s="69">
        <v>29</v>
      </c>
      <c r="X289" s="70" t="s">
        <v>384</v>
      </c>
      <c r="Y289" s="70"/>
      <c r="Z289" s="70"/>
      <c r="AA289" s="429"/>
      <c r="AB289" s="429"/>
      <c r="AC289" s="429"/>
      <c r="AD289" s="429"/>
      <c r="AE289" s="429"/>
      <c r="AF289" s="429"/>
      <c r="AG289" s="429"/>
      <c r="AH289" s="429"/>
      <c r="AI289" s="429"/>
      <c r="AJ289" s="429"/>
      <c r="AK289" s="429"/>
      <c r="AL289" s="429"/>
      <c r="AM289" s="429"/>
    </row>
    <row r="290" spans="1:39">
      <c r="A290" s="50"/>
      <c r="B290" s="52">
        <v>6635</v>
      </c>
      <c r="C290" s="53" t="s">
        <v>372</v>
      </c>
      <c r="D290" s="55" t="s">
        <v>1206</v>
      </c>
      <c r="E290" s="53">
        <v>60</v>
      </c>
      <c r="F290" s="56" t="s">
        <v>1207</v>
      </c>
      <c r="G290" s="57" t="s">
        <v>53</v>
      </c>
      <c r="H290" s="58">
        <v>802500</v>
      </c>
      <c r="I290" s="59"/>
      <c r="J290" s="60" t="s">
        <v>2479</v>
      </c>
      <c r="K290" s="61"/>
      <c r="L290" s="62" t="s">
        <v>1208</v>
      </c>
      <c r="M290" s="64"/>
      <c r="N290" s="65"/>
      <c r="O290" s="65"/>
      <c r="P290" s="65"/>
      <c r="Q290" s="65"/>
      <c r="R290" s="65"/>
      <c r="S290" s="65"/>
      <c r="T290" s="67">
        <v>10</v>
      </c>
      <c r="U290" s="67">
        <v>2568</v>
      </c>
      <c r="V290" s="68" t="s">
        <v>2228</v>
      </c>
      <c r="W290" s="69" t="e">
        <v>#REF!</v>
      </c>
      <c r="X290" s="70" t="s">
        <v>384</v>
      </c>
      <c r="Y290" s="70"/>
      <c r="Z290" s="70"/>
      <c r="AA290" s="429"/>
      <c r="AB290" s="429"/>
      <c r="AC290" s="429"/>
      <c r="AD290" s="429"/>
      <c r="AE290" s="429"/>
      <c r="AF290" s="429"/>
      <c r="AG290" s="429"/>
      <c r="AH290" s="429"/>
      <c r="AI290" s="429"/>
      <c r="AJ290" s="429"/>
      <c r="AK290" s="429"/>
      <c r="AL290" s="429"/>
      <c r="AM290" s="429"/>
    </row>
    <row r="291" spans="1:39">
      <c r="A291" s="50"/>
      <c r="B291" s="52">
        <v>6635</v>
      </c>
      <c r="C291" s="53" t="s">
        <v>372</v>
      </c>
      <c r="D291" s="55" t="s">
        <v>1209</v>
      </c>
      <c r="E291" s="53">
        <v>60</v>
      </c>
      <c r="F291" s="56" t="s">
        <v>4115</v>
      </c>
      <c r="G291" s="57" t="s">
        <v>53</v>
      </c>
      <c r="H291" s="58">
        <v>100000</v>
      </c>
      <c r="I291" s="59">
        <v>42719</v>
      </c>
      <c r="J291" s="60" t="s">
        <v>2479</v>
      </c>
      <c r="K291" s="61"/>
      <c r="L291" s="62" t="s">
        <v>1211</v>
      </c>
      <c r="M291" s="64"/>
      <c r="N291" s="65"/>
      <c r="O291" s="65"/>
      <c r="P291" s="65"/>
      <c r="Q291" s="65"/>
      <c r="R291" s="65"/>
      <c r="S291" s="65"/>
      <c r="T291" s="67">
        <v>10</v>
      </c>
      <c r="U291" s="67">
        <v>2568</v>
      </c>
      <c r="V291" s="68" t="s">
        <v>2228</v>
      </c>
      <c r="W291" s="69" t="e">
        <v>#REF!</v>
      </c>
      <c r="X291" s="70" t="s">
        <v>384</v>
      </c>
      <c r="Y291" s="70"/>
      <c r="Z291" s="70"/>
      <c r="AA291" s="429"/>
      <c r="AB291" s="429"/>
      <c r="AC291" s="429"/>
      <c r="AD291" s="429"/>
      <c r="AE291" s="429"/>
      <c r="AF291" s="429"/>
      <c r="AG291" s="429"/>
      <c r="AH291" s="429"/>
      <c r="AI291" s="429"/>
      <c r="AJ291" s="429"/>
      <c r="AK291" s="429"/>
      <c r="AL291" s="429"/>
      <c r="AM291" s="429"/>
    </row>
    <row r="292" spans="1:39" ht="31.5">
      <c r="A292" s="50"/>
      <c r="B292" s="52">
        <v>6635</v>
      </c>
      <c r="C292" s="53" t="s">
        <v>372</v>
      </c>
      <c r="D292" s="55" t="s">
        <v>1212</v>
      </c>
      <c r="E292" s="53">
        <v>61</v>
      </c>
      <c r="F292" s="56" t="s">
        <v>824</v>
      </c>
      <c r="G292" s="57" t="s">
        <v>53</v>
      </c>
      <c r="H292" s="58">
        <v>1500000</v>
      </c>
      <c r="I292" s="59"/>
      <c r="J292" s="60" t="s">
        <v>2479</v>
      </c>
      <c r="K292" s="61"/>
      <c r="L292" s="62" t="s">
        <v>1213</v>
      </c>
      <c r="M292" s="64"/>
      <c r="N292" s="65"/>
      <c r="O292" s="65"/>
      <c r="P292" s="65"/>
      <c r="Q292" s="65"/>
      <c r="R292" s="65"/>
      <c r="S292" s="65"/>
      <c r="T292" s="67"/>
      <c r="U292" s="67"/>
      <c r="V292" s="68" t="s">
        <v>2228</v>
      </c>
      <c r="W292" s="69" t="e">
        <v>#REF!</v>
      </c>
      <c r="X292" s="70" t="s">
        <v>384</v>
      </c>
      <c r="Y292" s="70"/>
      <c r="Z292" s="70"/>
      <c r="AA292" s="429"/>
      <c r="AB292" s="429"/>
      <c r="AC292" s="429"/>
      <c r="AD292" s="429"/>
      <c r="AE292" s="429"/>
      <c r="AF292" s="429"/>
      <c r="AG292" s="429"/>
      <c r="AH292" s="429"/>
      <c r="AI292" s="429"/>
      <c r="AJ292" s="429"/>
      <c r="AK292" s="429"/>
      <c r="AL292" s="429"/>
      <c r="AM292" s="429"/>
    </row>
    <row r="293" spans="1:39">
      <c r="A293" s="50"/>
      <c r="B293" s="52">
        <v>6635</v>
      </c>
      <c r="C293" s="53" t="s">
        <v>372</v>
      </c>
      <c r="D293" s="55" t="s">
        <v>1214</v>
      </c>
      <c r="E293" s="53">
        <v>60</v>
      </c>
      <c r="F293" s="56" t="s">
        <v>1215</v>
      </c>
      <c r="G293" s="57" t="s">
        <v>78</v>
      </c>
      <c r="H293" s="58">
        <v>150000</v>
      </c>
      <c r="I293" s="59"/>
      <c r="J293" s="60" t="s">
        <v>2479</v>
      </c>
      <c r="K293" s="61"/>
      <c r="L293" s="62" t="s">
        <v>1216</v>
      </c>
      <c r="M293" s="64"/>
      <c r="N293" s="65"/>
      <c r="O293" s="65"/>
      <c r="P293" s="65"/>
      <c r="Q293" s="65"/>
      <c r="R293" s="65"/>
      <c r="S293" s="65"/>
      <c r="T293" s="67">
        <v>10</v>
      </c>
      <c r="U293" s="67">
        <v>2568</v>
      </c>
      <c r="V293" s="68" t="s">
        <v>2228</v>
      </c>
      <c r="W293" s="69" t="e">
        <v>#REF!</v>
      </c>
      <c r="X293" s="70" t="s">
        <v>384</v>
      </c>
      <c r="Y293" s="70"/>
      <c r="Z293" s="70"/>
      <c r="AA293" s="429"/>
      <c r="AB293" s="429"/>
      <c r="AC293" s="429"/>
      <c r="AD293" s="429"/>
      <c r="AE293" s="429"/>
      <c r="AF293" s="429"/>
      <c r="AG293" s="429"/>
      <c r="AH293" s="429"/>
      <c r="AI293" s="429"/>
      <c r="AJ293" s="429"/>
      <c r="AK293" s="429"/>
      <c r="AL293" s="429"/>
      <c r="AM293" s="429"/>
    </row>
    <row r="294" spans="1:39">
      <c r="A294" s="50"/>
      <c r="B294" s="52">
        <v>6675</v>
      </c>
      <c r="C294" s="53" t="s">
        <v>372</v>
      </c>
      <c r="D294" s="55" t="s">
        <v>1217</v>
      </c>
      <c r="E294" s="53">
        <v>58</v>
      </c>
      <c r="F294" s="56" t="s">
        <v>1218</v>
      </c>
      <c r="G294" s="57" t="s">
        <v>78</v>
      </c>
      <c r="H294" s="58">
        <v>56000</v>
      </c>
      <c r="I294" s="59"/>
      <c r="J294" s="60" t="s">
        <v>2482</v>
      </c>
      <c r="K294" s="623" t="s">
        <v>2482</v>
      </c>
      <c r="L294" s="62">
        <v>6675357069807</v>
      </c>
      <c r="M294" s="64"/>
      <c r="N294" s="65"/>
      <c r="O294" s="65"/>
      <c r="P294" s="65"/>
      <c r="Q294" s="65"/>
      <c r="R294" s="65"/>
      <c r="S294" s="65"/>
      <c r="T294" s="67">
        <v>10</v>
      </c>
      <c r="U294" s="67">
        <v>2566</v>
      </c>
      <c r="V294" s="68" t="s">
        <v>2228</v>
      </c>
      <c r="W294" s="69" t="e">
        <v>#REF!</v>
      </c>
      <c r="X294" s="70" t="s">
        <v>1219</v>
      </c>
      <c r="Y294" s="70"/>
      <c r="Z294" s="70"/>
      <c r="AA294" s="429"/>
      <c r="AB294" s="429"/>
      <c r="AC294" s="429"/>
      <c r="AD294" s="429"/>
      <c r="AE294" s="429"/>
      <c r="AF294" s="429"/>
      <c r="AG294" s="429"/>
      <c r="AH294" s="429"/>
      <c r="AI294" s="429"/>
      <c r="AJ294" s="429"/>
      <c r="AK294" s="429"/>
      <c r="AL294" s="429"/>
      <c r="AM294" s="429"/>
    </row>
    <row r="295" spans="1:39" ht="31.5">
      <c r="A295" s="50"/>
      <c r="B295" s="52">
        <v>6675</v>
      </c>
      <c r="C295" s="53" t="s">
        <v>372</v>
      </c>
      <c r="D295" s="55" t="s">
        <v>1220</v>
      </c>
      <c r="E295" s="53">
        <v>59</v>
      </c>
      <c r="F295" s="56" t="s">
        <v>1221</v>
      </c>
      <c r="G295" s="57" t="s">
        <v>78</v>
      </c>
      <c r="H295" s="58">
        <v>23000</v>
      </c>
      <c r="I295" s="59"/>
      <c r="J295" s="60" t="s">
        <v>2482</v>
      </c>
      <c r="K295" s="61"/>
      <c r="L295" s="62" t="s">
        <v>1222</v>
      </c>
      <c r="M295" s="64"/>
      <c r="N295" s="65"/>
      <c r="O295" s="65"/>
      <c r="P295" s="65"/>
      <c r="Q295" s="65"/>
      <c r="R295" s="65"/>
      <c r="S295" s="65"/>
      <c r="T295" s="67">
        <v>10</v>
      </c>
      <c r="U295" s="67">
        <v>2567</v>
      </c>
      <c r="V295" s="68" t="s">
        <v>2228</v>
      </c>
      <c r="W295" s="69" t="e">
        <v>#REF!</v>
      </c>
      <c r="X295" s="70" t="s">
        <v>1219</v>
      </c>
      <c r="Y295" s="70"/>
      <c r="Z295" s="70"/>
      <c r="AA295" s="429"/>
      <c r="AB295" s="429"/>
      <c r="AC295" s="429"/>
      <c r="AD295" s="429"/>
      <c r="AE295" s="429"/>
      <c r="AF295" s="429"/>
      <c r="AG295" s="429"/>
      <c r="AH295" s="429"/>
      <c r="AI295" s="429"/>
      <c r="AJ295" s="429"/>
      <c r="AK295" s="429"/>
      <c r="AL295" s="429"/>
      <c r="AM295" s="429"/>
    </row>
    <row r="296" spans="1:39" ht="31.5">
      <c r="A296" s="50"/>
      <c r="B296" s="52">
        <v>6675</v>
      </c>
      <c r="C296" s="53" t="s">
        <v>372</v>
      </c>
      <c r="D296" s="55" t="s">
        <v>1223</v>
      </c>
      <c r="E296" s="53">
        <v>59</v>
      </c>
      <c r="F296" s="56" t="s">
        <v>1224</v>
      </c>
      <c r="G296" s="57" t="s">
        <v>78</v>
      </c>
      <c r="H296" s="58">
        <v>900000</v>
      </c>
      <c r="I296" s="59"/>
      <c r="J296" s="60" t="s">
        <v>2482</v>
      </c>
      <c r="K296" s="61"/>
      <c r="L296" s="62" t="s">
        <v>1225</v>
      </c>
      <c r="M296" s="64"/>
      <c r="N296" s="65"/>
      <c r="O296" s="65"/>
      <c r="P296" s="65"/>
      <c r="Q296" s="65"/>
      <c r="R296" s="65"/>
      <c r="S296" s="65"/>
      <c r="T296" s="67">
        <v>10</v>
      </c>
      <c r="U296" s="67">
        <v>2567</v>
      </c>
      <c r="V296" s="68" t="s">
        <v>2228</v>
      </c>
      <c r="W296" s="69" t="e">
        <v>#REF!</v>
      </c>
      <c r="X296" s="70" t="s">
        <v>1219</v>
      </c>
      <c r="Y296" s="70"/>
      <c r="Z296" s="70"/>
      <c r="AA296" s="429"/>
      <c r="AB296" s="429"/>
      <c r="AC296" s="429"/>
      <c r="AD296" s="429"/>
      <c r="AE296" s="429"/>
      <c r="AF296" s="429"/>
      <c r="AG296" s="429"/>
      <c r="AH296" s="429"/>
      <c r="AI296" s="429"/>
      <c r="AJ296" s="429"/>
      <c r="AK296" s="429"/>
      <c r="AL296" s="429"/>
      <c r="AM296" s="429"/>
    </row>
    <row r="297" spans="1:39">
      <c r="A297" s="50"/>
      <c r="B297" s="52">
        <v>6675</v>
      </c>
      <c r="C297" s="53" t="s">
        <v>191</v>
      </c>
      <c r="D297" s="55" t="s">
        <v>1226</v>
      </c>
      <c r="E297" s="53">
        <v>60</v>
      </c>
      <c r="F297" s="56" t="s">
        <v>1227</v>
      </c>
      <c r="G297" s="57" t="s">
        <v>78</v>
      </c>
      <c r="H297" s="58">
        <v>755000</v>
      </c>
      <c r="I297" s="59"/>
      <c r="J297" s="60" t="s">
        <v>2482</v>
      </c>
      <c r="K297" s="61"/>
      <c r="L297" s="62">
        <v>6675356816704</v>
      </c>
      <c r="M297" s="64"/>
      <c r="N297" s="65"/>
      <c r="O297" s="65"/>
      <c r="P297" s="65"/>
      <c r="Q297" s="65"/>
      <c r="R297" s="65"/>
      <c r="S297" s="65"/>
      <c r="T297" s="67">
        <v>10</v>
      </c>
      <c r="U297" s="67">
        <v>2568</v>
      </c>
      <c r="V297" s="68" t="s">
        <v>2228</v>
      </c>
      <c r="W297" s="69" t="e">
        <v>#REF!</v>
      </c>
      <c r="X297" s="70"/>
      <c r="Y297" s="70"/>
      <c r="Z297" s="70"/>
      <c r="AA297" s="429"/>
      <c r="AB297" s="429"/>
      <c r="AC297" s="429"/>
      <c r="AD297" s="429"/>
      <c r="AE297" s="429"/>
      <c r="AF297" s="429"/>
      <c r="AG297" s="429"/>
      <c r="AH297" s="429"/>
      <c r="AI297" s="429"/>
      <c r="AJ297" s="429"/>
      <c r="AK297" s="429"/>
      <c r="AL297" s="429"/>
      <c r="AM297" s="429"/>
    </row>
    <row r="298" spans="1:39">
      <c r="A298" s="50"/>
      <c r="B298" s="52">
        <v>6675</v>
      </c>
      <c r="C298" s="53" t="s">
        <v>372</v>
      </c>
      <c r="D298" s="55" t="s">
        <v>1230</v>
      </c>
      <c r="E298" s="53">
        <v>58</v>
      </c>
      <c r="F298" s="56" t="s">
        <v>1231</v>
      </c>
      <c r="G298" s="57" t="s">
        <v>53</v>
      </c>
      <c r="H298" s="58">
        <v>850000</v>
      </c>
      <c r="I298" s="59"/>
      <c r="J298" s="60" t="s">
        <v>2482</v>
      </c>
      <c r="K298" s="623" t="s">
        <v>2482</v>
      </c>
      <c r="L298" s="62"/>
      <c r="M298" s="64"/>
      <c r="N298" s="65"/>
      <c r="O298" s="65"/>
      <c r="P298" s="65"/>
      <c r="Q298" s="65"/>
      <c r="R298" s="65"/>
      <c r="S298" s="65"/>
      <c r="T298" s="67">
        <v>10</v>
      </c>
      <c r="U298" s="67">
        <v>2566</v>
      </c>
      <c r="V298" s="68" t="s">
        <v>2228</v>
      </c>
      <c r="W298" s="69" t="e">
        <v>#REF!</v>
      </c>
      <c r="X298" s="70" t="s">
        <v>1234</v>
      </c>
      <c r="Y298" s="70"/>
      <c r="Z298" s="70"/>
      <c r="AA298" s="429"/>
      <c r="AB298" s="429"/>
      <c r="AC298" s="429"/>
      <c r="AD298" s="429"/>
      <c r="AE298" s="429"/>
      <c r="AF298" s="429"/>
      <c r="AG298" s="429"/>
      <c r="AH298" s="429"/>
      <c r="AI298" s="429"/>
      <c r="AJ298" s="429"/>
      <c r="AK298" s="429"/>
      <c r="AL298" s="429"/>
      <c r="AM298" s="429"/>
    </row>
    <row r="299" spans="1:39">
      <c r="A299" s="50"/>
      <c r="B299" s="52">
        <v>6675</v>
      </c>
      <c r="C299" s="53" t="s">
        <v>372</v>
      </c>
      <c r="D299" s="55" t="s">
        <v>1236</v>
      </c>
      <c r="E299" s="53">
        <v>60</v>
      </c>
      <c r="F299" s="56" t="s">
        <v>1237</v>
      </c>
      <c r="G299" s="57" t="s">
        <v>53</v>
      </c>
      <c r="H299" s="58">
        <v>650000</v>
      </c>
      <c r="I299" s="59"/>
      <c r="J299" s="60" t="s">
        <v>2482</v>
      </c>
      <c r="K299" s="61"/>
      <c r="L299" s="62"/>
      <c r="M299" s="64"/>
      <c r="N299" s="65"/>
      <c r="O299" s="65"/>
      <c r="P299" s="65"/>
      <c r="Q299" s="65"/>
      <c r="R299" s="65"/>
      <c r="S299" s="65"/>
      <c r="T299" s="67">
        <v>10</v>
      </c>
      <c r="U299" s="67">
        <v>2568</v>
      </c>
      <c r="V299" s="68" t="s">
        <v>2228</v>
      </c>
      <c r="W299" s="69" t="e">
        <v>#REF!</v>
      </c>
      <c r="X299" s="70" t="s">
        <v>1234</v>
      </c>
      <c r="Y299" s="70"/>
      <c r="Z299" s="70"/>
      <c r="AA299" s="429"/>
      <c r="AB299" s="429"/>
      <c r="AC299" s="429"/>
      <c r="AD299" s="429"/>
      <c r="AE299" s="429"/>
      <c r="AF299" s="429"/>
      <c r="AG299" s="429"/>
      <c r="AH299" s="429"/>
      <c r="AI299" s="429"/>
      <c r="AJ299" s="429"/>
      <c r="AK299" s="429"/>
      <c r="AL299" s="429"/>
      <c r="AM299" s="429"/>
    </row>
    <row r="300" spans="1:39">
      <c r="A300" s="50"/>
      <c r="B300" s="52">
        <v>6675</v>
      </c>
      <c r="C300" s="53" t="s">
        <v>372</v>
      </c>
      <c r="D300" s="55" t="s">
        <v>1238</v>
      </c>
      <c r="E300" s="53">
        <v>61</v>
      </c>
      <c r="F300" s="56" t="s">
        <v>1239</v>
      </c>
      <c r="G300" s="57" t="s">
        <v>78</v>
      </c>
      <c r="H300" s="58">
        <v>30000</v>
      </c>
      <c r="I300" s="59"/>
      <c r="J300" s="60" t="s">
        <v>2482</v>
      </c>
      <c r="K300" s="61"/>
      <c r="L300" s="62"/>
      <c r="M300" s="64"/>
      <c r="N300" s="65"/>
      <c r="O300" s="65"/>
      <c r="P300" s="65"/>
      <c r="Q300" s="65"/>
      <c r="R300" s="65"/>
      <c r="S300" s="65"/>
      <c r="T300" s="67"/>
      <c r="U300" s="67"/>
      <c r="V300" s="68" t="s">
        <v>2228</v>
      </c>
      <c r="W300" s="69" t="e">
        <v>#REF!</v>
      </c>
      <c r="X300" s="70" t="s">
        <v>1232</v>
      </c>
      <c r="Y300" s="70"/>
      <c r="Z300" s="70"/>
      <c r="AA300" s="429"/>
      <c r="AB300" s="429"/>
      <c r="AC300" s="429"/>
      <c r="AD300" s="429"/>
      <c r="AE300" s="429"/>
      <c r="AF300" s="429"/>
      <c r="AG300" s="429"/>
      <c r="AH300" s="429"/>
      <c r="AI300" s="429"/>
      <c r="AJ300" s="429"/>
      <c r="AK300" s="429"/>
      <c r="AL300" s="429"/>
      <c r="AM300" s="429"/>
    </row>
    <row r="301" spans="1:39">
      <c r="A301" s="50"/>
      <c r="B301" s="52">
        <v>6675</v>
      </c>
      <c r="C301" s="53" t="s">
        <v>372</v>
      </c>
      <c r="D301" s="55" t="s">
        <v>1242</v>
      </c>
      <c r="E301" s="53">
        <v>61</v>
      </c>
      <c r="F301" s="56" t="s">
        <v>1243</v>
      </c>
      <c r="G301" s="57" t="s">
        <v>53</v>
      </c>
      <c r="H301" s="58">
        <v>250000</v>
      </c>
      <c r="I301" s="59">
        <v>43268</v>
      </c>
      <c r="J301" s="60" t="s">
        <v>2482</v>
      </c>
      <c r="K301" s="61"/>
      <c r="L301" s="62"/>
      <c r="M301" s="64"/>
      <c r="N301" s="65"/>
      <c r="O301" s="65"/>
      <c r="P301" s="65"/>
      <c r="Q301" s="65"/>
      <c r="R301" s="65"/>
      <c r="S301" s="65"/>
      <c r="T301" s="67">
        <v>10</v>
      </c>
      <c r="U301" s="67">
        <v>2569</v>
      </c>
      <c r="V301" s="68" t="s">
        <v>2228</v>
      </c>
      <c r="W301" s="69" t="e">
        <v>#REF!</v>
      </c>
      <c r="X301" s="70" t="s">
        <v>1232</v>
      </c>
      <c r="Y301" s="70"/>
      <c r="Z301" s="70"/>
      <c r="AA301" s="429"/>
      <c r="AB301" s="429"/>
      <c r="AC301" s="429"/>
      <c r="AD301" s="429"/>
      <c r="AE301" s="429"/>
      <c r="AF301" s="429"/>
      <c r="AG301" s="429"/>
      <c r="AH301" s="429"/>
      <c r="AI301" s="429"/>
      <c r="AJ301" s="429"/>
      <c r="AK301" s="429"/>
      <c r="AL301" s="429"/>
      <c r="AM301" s="429"/>
    </row>
    <row r="302" spans="1:39" ht="31.5">
      <c r="A302" s="50" t="s">
        <v>1196</v>
      </c>
      <c r="B302" s="52">
        <v>6675</v>
      </c>
      <c r="C302" s="53" t="s">
        <v>372</v>
      </c>
      <c r="D302" s="55" t="s">
        <v>1245</v>
      </c>
      <c r="E302" s="53">
        <v>62</v>
      </c>
      <c r="F302" s="56" t="s">
        <v>1246</v>
      </c>
      <c r="G302" s="57" t="s">
        <v>53</v>
      </c>
      <c r="H302" s="58">
        <v>400000</v>
      </c>
      <c r="I302" s="59"/>
      <c r="J302" s="101"/>
      <c r="K302" s="61"/>
      <c r="L302" s="62"/>
      <c r="M302" s="64"/>
      <c r="N302" s="65" t="s">
        <v>1200</v>
      </c>
      <c r="O302" s="65" t="s">
        <v>1201</v>
      </c>
      <c r="P302" s="65" t="s">
        <v>1202</v>
      </c>
      <c r="Q302" s="65" t="s">
        <v>1203</v>
      </c>
      <c r="R302" s="65" t="s">
        <v>1204</v>
      </c>
      <c r="S302" s="65" t="s">
        <v>1205</v>
      </c>
      <c r="T302" s="67"/>
      <c r="U302" s="67"/>
      <c r="V302" s="68" t="s">
        <v>2228</v>
      </c>
      <c r="W302" s="69" t="e">
        <v>#REF!</v>
      </c>
      <c r="X302" s="70" t="s">
        <v>1232</v>
      </c>
      <c r="Y302" s="70"/>
      <c r="Z302" s="70"/>
      <c r="AA302" s="429"/>
      <c r="AB302" s="429"/>
      <c r="AC302" s="429"/>
      <c r="AD302" s="429"/>
      <c r="AE302" s="429"/>
      <c r="AF302" s="429"/>
      <c r="AG302" s="429"/>
      <c r="AH302" s="429"/>
      <c r="AI302" s="429"/>
      <c r="AJ302" s="429"/>
      <c r="AK302" s="429"/>
      <c r="AL302" s="429"/>
      <c r="AM302" s="429"/>
    </row>
    <row r="303" spans="1:39">
      <c r="A303" s="50"/>
      <c r="B303" s="52">
        <v>6680</v>
      </c>
      <c r="C303" s="53" t="s">
        <v>256</v>
      </c>
      <c r="D303" s="55" t="s">
        <v>1249</v>
      </c>
      <c r="E303" s="53">
        <v>54</v>
      </c>
      <c r="F303" s="56" t="s">
        <v>1250</v>
      </c>
      <c r="G303" s="57" t="s">
        <v>78</v>
      </c>
      <c r="H303" s="58">
        <v>47000</v>
      </c>
      <c r="I303" s="59"/>
      <c r="J303" s="60" t="s">
        <v>2485</v>
      </c>
      <c r="K303" s="623" t="s">
        <v>2485</v>
      </c>
      <c r="L303" s="62"/>
      <c r="M303" s="64"/>
      <c r="N303" s="65"/>
      <c r="O303" s="65"/>
      <c r="P303" s="65"/>
      <c r="Q303" s="65"/>
      <c r="R303" s="65"/>
      <c r="S303" s="65"/>
      <c r="T303" s="67">
        <v>10</v>
      </c>
      <c r="U303" s="67">
        <v>2562</v>
      </c>
      <c r="V303" s="68" t="s">
        <v>2228</v>
      </c>
      <c r="W303" s="69" t="e">
        <v>#REF!</v>
      </c>
      <c r="X303" s="70"/>
      <c r="Y303" s="70"/>
      <c r="Z303" s="70"/>
      <c r="AA303" s="429"/>
      <c r="AB303" s="429"/>
      <c r="AC303" s="429"/>
      <c r="AD303" s="429"/>
      <c r="AE303" s="429"/>
      <c r="AF303" s="429"/>
      <c r="AG303" s="429"/>
      <c r="AH303" s="429"/>
      <c r="AI303" s="429"/>
      <c r="AJ303" s="429"/>
      <c r="AK303" s="429"/>
      <c r="AL303" s="429"/>
      <c r="AM303" s="429"/>
    </row>
    <row r="304" spans="1:39">
      <c r="A304" s="50"/>
      <c r="B304" s="52">
        <v>6680</v>
      </c>
      <c r="C304" s="53" t="s">
        <v>157</v>
      </c>
      <c r="D304" s="55" t="s">
        <v>1251</v>
      </c>
      <c r="E304" s="53">
        <v>55</v>
      </c>
      <c r="F304" s="56" t="s">
        <v>1252</v>
      </c>
      <c r="G304" s="57" t="s">
        <v>53</v>
      </c>
      <c r="H304" s="58">
        <v>4500</v>
      </c>
      <c r="I304" s="59"/>
      <c r="J304" s="60" t="s">
        <v>2485</v>
      </c>
      <c r="K304" s="623" t="s">
        <v>2485</v>
      </c>
      <c r="L304" s="62"/>
      <c r="M304" s="64"/>
      <c r="N304" s="65"/>
      <c r="O304" s="65"/>
      <c r="P304" s="65"/>
      <c r="Q304" s="65"/>
      <c r="R304" s="65"/>
      <c r="S304" s="65"/>
      <c r="T304" s="67">
        <v>10</v>
      </c>
      <c r="U304" s="67">
        <v>2563</v>
      </c>
      <c r="V304" s="68" t="s">
        <v>2228</v>
      </c>
      <c r="W304" s="69" t="e">
        <v>#REF!</v>
      </c>
      <c r="X304" s="70"/>
      <c r="Y304" s="70"/>
      <c r="Z304" s="70"/>
      <c r="AA304" s="429"/>
      <c r="AB304" s="429"/>
      <c r="AC304" s="429"/>
      <c r="AD304" s="429"/>
      <c r="AE304" s="429"/>
      <c r="AF304" s="429"/>
      <c r="AG304" s="429"/>
      <c r="AH304" s="429"/>
      <c r="AI304" s="429"/>
      <c r="AJ304" s="429"/>
      <c r="AK304" s="429"/>
      <c r="AL304" s="429"/>
      <c r="AM304" s="429"/>
    </row>
    <row r="305" spans="1:39">
      <c r="A305" s="50"/>
      <c r="B305" s="52">
        <v>6685</v>
      </c>
      <c r="C305" s="53" t="s">
        <v>37</v>
      </c>
      <c r="D305" s="55" t="s">
        <v>1253</v>
      </c>
      <c r="E305" s="53">
        <v>58</v>
      </c>
      <c r="F305" s="56" t="s">
        <v>1254</v>
      </c>
      <c r="G305" s="57" t="s">
        <v>78</v>
      </c>
      <c r="H305" s="58">
        <v>225000</v>
      </c>
      <c r="I305" s="59"/>
      <c r="J305" s="60" t="s">
        <v>2487</v>
      </c>
      <c r="K305" s="623" t="s">
        <v>2487</v>
      </c>
      <c r="L305" s="62"/>
      <c r="M305" s="64"/>
      <c r="N305" s="65"/>
      <c r="O305" s="65"/>
      <c r="P305" s="65"/>
      <c r="Q305" s="65"/>
      <c r="R305" s="65"/>
      <c r="S305" s="65"/>
      <c r="T305" s="67"/>
      <c r="U305" s="67">
        <v>2556</v>
      </c>
      <c r="V305" s="68" t="s">
        <v>2228</v>
      </c>
      <c r="W305" s="69" t="e">
        <v>#REF!</v>
      </c>
      <c r="X305" s="70"/>
      <c r="Y305" s="70"/>
      <c r="Z305" s="70"/>
      <c r="AA305" s="429"/>
      <c r="AB305" s="429"/>
      <c r="AC305" s="429"/>
      <c r="AD305" s="429"/>
      <c r="AE305" s="429"/>
      <c r="AF305" s="429"/>
      <c r="AG305" s="429"/>
      <c r="AH305" s="429"/>
      <c r="AI305" s="429"/>
      <c r="AJ305" s="429"/>
      <c r="AK305" s="429"/>
      <c r="AL305" s="429"/>
      <c r="AM305" s="429"/>
    </row>
    <row r="306" spans="1:39">
      <c r="A306" s="50"/>
      <c r="B306" s="52">
        <v>6695</v>
      </c>
      <c r="C306" s="53" t="s">
        <v>157</v>
      </c>
      <c r="D306" s="55" t="s">
        <v>1255</v>
      </c>
      <c r="E306" s="53">
        <v>52</v>
      </c>
      <c r="F306" s="56" t="s">
        <v>1256</v>
      </c>
      <c r="G306" s="57" t="s">
        <v>78</v>
      </c>
      <c r="H306" s="58">
        <v>9500</v>
      </c>
      <c r="I306" s="59"/>
      <c r="J306" s="60" t="s">
        <v>2489</v>
      </c>
      <c r="K306" s="61"/>
      <c r="L306" s="62"/>
      <c r="M306" s="64"/>
      <c r="N306" s="65"/>
      <c r="O306" s="65"/>
      <c r="P306" s="65"/>
      <c r="Q306" s="65"/>
      <c r="R306" s="65"/>
      <c r="S306" s="65"/>
      <c r="T306" s="67"/>
      <c r="U306" s="67"/>
      <c r="V306" s="68" t="s">
        <v>2228</v>
      </c>
      <c r="W306" s="69" t="e">
        <v>#REF!</v>
      </c>
      <c r="X306" s="70"/>
      <c r="Y306" s="70"/>
      <c r="Z306" s="70"/>
      <c r="AA306" s="429"/>
      <c r="AB306" s="429"/>
      <c r="AC306" s="429"/>
      <c r="AD306" s="429"/>
      <c r="AE306" s="429"/>
      <c r="AF306" s="429"/>
      <c r="AG306" s="429"/>
      <c r="AH306" s="429"/>
      <c r="AI306" s="429"/>
      <c r="AJ306" s="429"/>
      <c r="AK306" s="429"/>
      <c r="AL306" s="429"/>
      <c r="AM306" s="429"/>
    </row>
    <row r="307" spans="1:39">
      <c r="A307" s="629"/>
      <c r="B307" s="629">
        <v>6800</v>
      </c>
      <c r="C307" s="625"/>
      <c r="D307" s="633" t="s">
        <v>4101</v>
      </c>
      <c r="E307" s="37"/>
      <c r="F307" s="629"/>
      <c r="G307" s="629"/>
      <c r="H307" s="629"/>
      <c r="I307" s="625"/>
      <c r="J307" s="625"/>
      <c r="K307" s="37"/>
      <c r="L307" s="37"/>
      <c r="M307" s="629"/>
      <c r="N307" s="629"/>
      <c r="O307" s="629"/>
      <c r="P307" s="625"/>
      <c r="Q307" s="625"/>
      <c r="R307" s="37"/>
      <c r="S307" s="37"/>
      <c r="T307" s="629"/>
      <c r="U307" s="629"/>
      <c r="V307" s="37" t="s">
        <v>2234</v>
      </c>
      <c r="W307" s="37">
        <v>4</v>
      </c>
      <c r="X307" s="625"/>
      <c r="Y307" s="37"/>
      <c r="Z307" s="37"/>
      <c r="AA307" s="426"/>
      <c r="AB307" s="426"/>
      <c r="AC307" s="426"/>
      <c r="AD307" s="426"/>
      <c r="AE307" s="426"/>
      <c r="AF307" s="426"/>
      <c r="AG307" s="426"/>
      <c r="AH307" s="426"/>
      <c r="AI307" s="426"/>
      <c r="AJ307" s="426"/>
      <c r="AK307" s="426"/>
      <c r="AL307" s="426"/>
      <c r="AM307" s="426"/>
    </row>
    <row r="308" spans="1:39">
      <c r="A308" s="50"/>
      <c r="B308" s="52">
        <v>6810</v>
      </c>
      <c r="C308" s="53" t="s">
        <v>683</v>
      </c>
      <c r="D308" s="55" t="s">
        <v>1257</v>
      </c>
      <c r="E308" s="53">
        <v>53</v>
      </c>
      <c r="F308" s="56" t="s">
        <v>1258</v>
      </c>
      <c r="G308" s="57" t="s">
        <v>1259</v>
      </c>
      <c r="H308" s="58">
        <v>6500</v>
      </c>
      <c r="I308" s="59"/>
      <c r="J308" s="60" t="s">
        <v>2491</v>
      </c>
      <c r="K308" s="623" t="s">
        <v>2491</v>
      </c>
      <c r="L308" s="62"/>
      <c r="M308" s="64"/>
      <c r="N308" s="65"/>
      <c r="O308" s="65"/>
      <c r="P308" s="65"/>
      <c r="Q308" s="65"/>
      <c r="R308" s="65"/>
      <c r="S308" s="65"/>
      <c r="T308" s="67"/>
      <c r="U308" s="67"/>
      <c r="V308" s="68" t="s">
        <v>2234</v>
      </c>
      <c r="W308" s="69" t="e">
        <v>#REF!</v>
      </c>
      <c r="X308" s="70"/>
      <c r="Y308" s="70"/>
      <c r="Z308" s="70"/>
      <c r="AA308" s="429"/>
      <c r="AB308" s="429"/>
      <c r="AC308" s="429"/>
      <c r="AD308" s="429"/>
      <c r="AE308" s="429"/>
      <c r="AF308" s="429"/>
      <c r="AG308" s="429"/>
      <c r="AH308" s="429"/>
      <c r="AI308" s="429"/>
      <c r="AJ308" s="429"/>
      <c r="AK308" s="429"/>
      <c r="AL308" s="429"/>
      <c r="AM308" s="429"/>
    </row>
    <row r="309" spans="1:39">
      <c r="A309" s="50"/>
      <c r="B309" s="52">
        <v>6840</v>
      </c>
      <c r="C309" s="53" t="s">
        <v>191</v>
      </c>
      <c r="D309" s="55" t="s">
        <v>852</v>
      </c>
      <c r="E309" s="53">
        <v>54</v>
      </c>
      <c r="F309" s="56" t="s">
        <v>1260</v>
      </c>
      <c r="G309" s="57" t="s">
        <v>1261</v>
      </c>
      <c r="H309" s="58">
        <v>380</v>
      </c>
      <c r="I309" s="59"/>
      <c r="J309" s="60" t="s">
        <v>2492</v>
      </c>
      <c r="K309" s="623" t="s">
        <v>2492</v>
      </c>
      <c r="L309" s="62"/>
      <c r="M309" s="64"/>
      <c r="N309" s="65"/>
      <c r="O309" s="65"/>
      <c r="P309" s="65"/>
      <c r="Q309" s="65"/>
      <c r="R309" s="65"/>
      <c r="S309" s="65"/>
      <c r="T309" s="67"/>
      <c r="U309" s="67"/>
      <c r="V309" s="68" t="s">
        <v>2234</v>
      </c>
      <c r="W309" s="69" t="e">
        <v>#REF!</v>
      </c>
      <c r="X309" s="70"/>
      <c r="Y309" s="70"/>
      <c r="Z309" s="70"/>
      <c r="AA309" s="429"/>
      <c r="AB309" s="429"/>
      <c r="AC309" s="429"/>
      <c r="AD309" s="429"/>
      <c r="AE309" s="429"/>
      <c r="AF309" s="429"/>
      <c r="AG309" s="429"/>
      <c r="AH309" s="429"/>
      <c r="AI309" s="429"/>
      <c r="AJ309" s="429"/>
      <c r="AK309" s="429"/>
      <c r="AL309" s="429"/>
      <c r="AM309" s="429"/>
    </row>
    <row r="310" spans="1:39">
      <c r="A310" s="50"/>
      <c r="B310" s="52">
        <v>6840</v>
      </c>
      <c r="C310" s="53" t="s">
        <v>191</v>
      </c>
      <c r="D310" s="55" t="s">
        <v>1262</v>
      </c>
      <c r="E310" s="53">
        <v>58</v>
      </c>
      <c r="F310" s="56" t="s">
        <v>856</v>
      </c>
      <c r="G310" s="57" t="s">
        <v>1263</v>
      </c>
      <c r="H310" s="58">
        <v>750</v>
      </c>
      <c r="I310" s="59"/>
      <c r="J310" s="60" t="s">
        <v>2492</v>
      </c>
      <c r="K310" s="623" t="s">
        <v>2492</v>
      </c>
      <c r="L310" s="62"/>
      <c r="M310" s="64"/>
      <c r="N310" s="65"/>
      <c r="O310" s="65"/>
      <c r="P310" s="65"/>
      <c r="Q310" s="65"/>
      <c r="R310" s="65"/>
      <c r="S310" s="65"/>
      <c r="T310" s="67"/>
      <c r="U310" s="67"/>
      <c r="V310" s="68" t="s">
        <v>2234</v>
      </c>
      <c r="W310" s="69" t="e">
        <v>#REF!</v>
      </c>
      <c r="X310" s="70"/>
      <c r="Y310" s="70"/>
      <c r="Z310" s="70"/>
      <c r="AA310" s="429"/>
      <c r="AB310" s="429"/>
      <c r="AC310" s="429"/>
      <c r="AD310" s="429"/>
      <c r="AE310" s="429"/>
      <c r="AF310" s="429"/>
      <c r="AG310" s="429"/>
      <c r="AH310" s="429"/>
      <c r="AI310" s="429"/>
      <c r="AJ310" s="429"/>
      <c r="AK310" s="429"/>
      <c r="AL310" s="429"/>
      <c r="AM310" s="429"/>
    </row>
    <row r="311" spans="1:39">
      <c r="A311" s="50"/>
      <c r="B311" s="52">
        <v>6840</v>
      </c>
      <c r="C311" s="53" t="s">
        <v>191</v>
      </c>
      <c r="D311" s="55" t="s">
        <v>1264</v>
      </c>
      <c r="E311" s="53">
        <v>58</v>
      </c>
      <c r="F311" s="56" t="s">
        <v>1265</v>
      </c>
      <c r="G311" s="57" t="s">
        <v>1266</v>
      </c>
      <c r="H311" s="58">
        <v>1000</v>
      </c>
      <c r="I311" s="59"/>
      <c r="J311" s="60" t="s">
        <v>2492</v>
      </c>
      <c r="K311" s="623" t="s">
        <v>2492</v>
      </c>
      <c r="L311" s="62"/>
      <c r="M311" s="64"/>
      <c r="N311" s="65"/>
      <c r="O311" s="65"/>
      <c r="P311" s="65"/>
      <c r="Q311" s="65"/>
      <c r="R311" s="65"/>
      <c r="S311" s="65"/>
      <c r="T311" s="67"/>
      <c r="U311" s="67"/>
      <c r="V311" s="68" t="s">
        <v>2234</v>
      </c>
      <c r="W311" s="69" t="e">
        <v>#REF!</v>
      </c>
      <c r="X311" s="70"/>
      <c r="Y311" s="70"/>
      <c r="Z311" s="70"/>
      <c r="AA311" s="429"/>
      <c r="AB311" s="429"/>
      <c r="AC311" s="429"/>
      <c r="AD311" s="429"/>
      <c r="AE311" s="429"/>
      <c r="AF311" s="429"/>
      <c r="AG311" s="429"/>
      <c r="AH311" s="429"/>
      <c r="AI311" s="429"/>
      <c r="AJ311" s="429"/>
      <c r="AK311" s="429"/>
      <c r="AL311" s="429"/>
      <c r="AM311" s="429"/>
    </row>
    <row r="312" spans="1:39">
      <c r="A312" s="629"/>
      <c r="B312" s="629">
        <v>7200</v>
      </c>
      <c r="C312" s="625"/>
      <c r="D312" s="633" t="s">
        <v>4102</v>
      </c>
      <c r="E312" s="37"/>
      <c r="F312" s="629"/>
      <c r="G312" s="629"/>
      <c r="H312" s="629"/>
      <c r="I312" s="625"/>
      <c r="J312" s="625"/>
      <c r="K312" s="37"/>
      <c r="L312" s="37"/>
      <c r="M312" s="629"/>
      <c r="N312" s="629"/>
      <c r="O312" s="629"/>
      <c r="P312" s="625"/>
      <c r="Q312" s="625"/>
      <c r="R312" s="37"/>
      <c r="S312" s="37"/>
      <c r="T312" s="629"/>
      <c r="U312" s="629"/>
      <c r="V312" s="37" t="s">
        <v>2242</v>
      </c>
      <c r="W312" s="37">
        <v>0</v>
      </c>
      <c r="X312" s="625"/>
      <c r="Y312" s="37"/>
      <c r="Z312" s="37"/>
      <c r="AA312" s="426"/>
      <c r="AB312" s="426"/>
      <c r="AC312" s="426"/>
      <c r="AD312" s="426"/>
      <c r="AE312" s="426"/>
      <c r="AF312" s="426"/>
      <c r="AG312" s="426"/>
      <c r="AH312" s="426"/>
      <c r="AI312" s="426"/>
      <c r="AJ312" s="426"/>
      <c r="AK312" s="426"/>
      <c r="AL312" s="426"/>
      <c r="AM312" s="426"/>
    </row>
    <row r="313" spans="1:39">
      <c r="A313" s="629"/>
      <c r="B313" s="629">
        <v>8400</v>
      </c>
      <c r="C313" s="625"/>
      <c r="D313" s="633" t="s">
        <v>4103</v>
      </c>
      <c r="E313" s="37"/>
      <c r="F313" s="629"/>
      <c r="G313" s="629"/>
      <c r="H313" s="629"/>
      <c r="I313" s="625"/>
      <c r="J313" s="625"/>
      <c r="K313" s="37"/>
      <c r="L313" s="37"/>
      <c r="M313" s="629"/>
      <c r="N313" s="629"/>
      <c r="O313" s="629"/>
      <c r="P313" s="625"/>
      <c r="Q313" s="625"/>
      <c r="R313" s="37"/>
      <c r="S313" s="37"/>
      <c r="T313" s="629"/>
      <c r="U313" s="629"/>
      <c r="V313" s="37" t="s">
        <v>2269</v>
      </c>
      <c r="W313" s="37">
        <v>3</v>
      </c>
      <c r="X313" s="625"/>
      <c r="Y313" s="37"/>
      <c r="Z313" s="37"/>
      <c r="AA313" s="426"/>
      <c r="AB313" s="426"/>
      <c r="AC313" s="426"/>
      <c r="AD313" s="426"/>
      <c r="AE313" s="426"/>
      <c r="AF313" s="426"/>
      <c r="AG313" s="426"/>
      <c r="AH313" s="426"/>
      <c r="AI313" s="426"/>
      <c r="AJ313" s="426"/>
      <c r="AK313" s="426"/>
      <c r="AL313" s="426"/>
      <c r="AM313" s="426"/>
    </row>
    <row r="314" spans="1:39">
      <c r="A314" s="50"/>
      <c r="B314" s="52">
        <v>8415</v>
      </c>
      <c r="C314" s="53" t="s">
        <v>683</v>
      </c>
      <c r="D314" s="55" t="s">
        <v>1267</v>
      </c>
      <c r="E314" s="53">
        <v>61</v>
      </c>
      <c r="F314" s="56" t="s">
        <v>741</v>
      </c>
      <c r="G314" s="57" t="s">
        <v>53</v>
      </c>
      <c r="H314" s="58">
        <v>140000</v>
      </c>
      <c r="I314" s="59"/>
      <c r="J314" s="60" t="s">
        <v>2508</v>
      </c>
      <c r="K314" s="61"/>
      <c r="L314" s="62"/>
      <c r="M314" s="64"/>
      <c r="N314" s="65"/>
      <c r="O314" s="65"/>
      <c r="P314" s="65"/>
      <c r="Q314" s="65"/>
      <c r="R314" s="65"/>
      <c r="S314" s="65"/>
      <c r="T314" s="67"/>
      <c r="U314" s="67"/>
      <c r="V314" s="68" t="s">
        <v>2269</v>
      </c>
      <c r="W314" s="69">
        <v>3</v>
      </c>
      <c r="X314" s="70"/>
      <c r="Y314" s="70"/>
      <c r="Z314" s="70"/>
      <c r="AA314" s="429"/>
      <c r="AB314" s="429"/>
      <c r="AC314" s="429"/>
      <c r="AD314" s="429"/>
      <c r="AE314" s="429"/>
      <c r="AF314" s="429"/>
      <c r="AG314" s="429"/>
      <c r="AH314" s="429"/>
      <c r="AI314" s="429"/>
      <c r="AJ314" s="429"/>
      <c r="AK314" s="429"/>
      <c r="AL314" s="429"/>
      <c r="AM314" s="429"/>
    </row>
    <row r="315" spans="1:39">
      <c r="A315" s="50"/>
      <c r="B315" s="52">
        <v>8415</v>
      </c>
      <c r="C315" s="53" t="s">
        <v>683</v>
      </c>
      <c r="D315" s="55" t="s">
        <v>1268</v>
      </c>
      <c r="E315" s="53">
        <v>61</v>
      </c>
      <c r="F315" s="56" t="s">
        <v>745</v>
      </c>
      <c r="G315" s="57" t="s">
        <v>53</v>
      </c>
      <c r="H315" s="58">
        <v>120000</v>
      </c>
      <c r="I315" s="59"/>
      <c r="J315" s="60" t="s">
        <v>2508</v>
      </c>
      <c r="K315" s="61"/>
      <c r="L315" s="62"/>
      <c r="M315" s="64"/>
      <c r="N315" s="65"/>
      <c r="O315" s="65"/>
      <c r="P315" s="65"/>
      <c r="Q315" s="65"/>
      <c r="R315" s="65"/>
      <c r="S315" s="65"/>
      <c r="T315" s="67"/>
      <c r="U315" s="67"/>
      <c r="V315" s="68" t="s">
        <v>2269</v>
      </c>
      <c r="W315" s="69" t="e">
        <v>#REF!</v>
      </c>
      <c r="X315" s="70"/>
      <c r="Y315" s="70"/>
      <c r="Z315" s="70"/>
      <c r="AA315" s="429"/>
      <c r="AB315" s="429"/>
      <c r="AC315" s="429"/>
      <c r="AD315" s="429"/>
      <c r="AE315" s="429"/>
      <c r="AF315" s="429"/>
      <c r="AG315" s="429"/>
      <c r="AH315" s="429"/>
      <c r="AI315" s="429"/>
      <c r="AJ315" s="429"/>
      <c r="AK315" s="429"/>
      <c r="AL315" s="429"/>
      <c r="AM315" s="429"/>
    </row>
    <row r="316" spans="1:39">
      <c r="A316" s="50"/>
      <c r="B316" s="52">
        <v>8415</v>
      </c>
      <c r="C316" s="53" t="s">
        <v>683</v>
      </c>
      <c r="D316" s="55" t="s">
        <v>1269</v>
      </c>
      <c r="E316" s="53">
        <v>52</v>
      </c>
      <c r="F316" s="56" t="s">
        <v>1270</v>
      </c>
      <c r="G316" s="57" t="s">
        <v>53</v>
      </c>
      <c r="H316" s="58">
        <v>33000</v>
      </c>
      <c r="I316" s="59"/>
      <c r="J316" s="60" t="s">
        <v>2508</v>
      </c>
      <c r="K316" s="623" t="s">
        <v>2508</v>
      </c>
      <c r="L316" s="62"/>
      <c r="M316" s="64"/>
      <c r="N316" s="65"/>
      <c r="O316" s="65"/>
      <c r="P316" s="65"/>
      <c r="Q316" s="65"/>
      <c r="R316" s="65"/>
      <c r="S316" s="65"/>
      <c r="T316" s="67">
        <v>15</v>
      </c>
      <c r="U316" s="67">
        <v>2565</v>
      </c>
      <c r="V316" s="68" t="s">
        <v>2269</v>
      </c>
      <c r="W316" s="69">
        <v>-1</v>
      </c>
      <c r="X316" s="70"/>
      <c r="Y316" s="70"/>
      <c r="Z316" s="70"/>
      <c r="AA316" s="429"/>
      <c r="AB316" s="429"/>
      <c r="AC316" s="429"/>
      <c r="AD316" s="429"/>
      <c r="AE316" s="429"/>
      <c r="AF316" s="429"/>
      <c r="AG316" s="429"/>
      <c r="AH316" s="429"/>
      <c r="AI316" s="429"/>
      <c r="AJ316" s="429"/>
      <c r="AK316" s="429"/>
      <c r="AL316" s="429"/>
      <c r="AM316" s="429"/>
    </row>
    <row r="317" spans="1:39">
      <c r="A317" s="629"/>
      <c r="B317" s="629">
        <v>9900</v>
      </c>
      <c r="C317" s="625"/>
      <c r="D317" s="633" t="s">
        <v>4104</v>
      </c>
      <c r="E317" s="37"/>
      <c r="F317" s="629"/>
      <c r="G317" s="629"/>
      <c r="H317" s="629"/>
      <c r="I317" s="625"/>
      <c r="J317" s="625"/>
      <c r="K317" s="37"/>
      <c r="L317" s="37"/>
      <c r="M317" s="629"/>
      <c r="N317" s="629"/>
      <c r="O317" s="629"/>
      <c r="P317" s="625"/>
      <c r="Q317" s="625"/>
      <c r="R317" s="37"/>
      <c r="S317" s="37"/>
      <c r="T317" s="629"/>
      <c r="U317" s="629"/>
      <c r="V317" s="37" t="s">
        <v>2301</v>
      </c>
      <c r="W317" s="37">
        <v>2</v>
      </c>
      <c r="X317" s="625"/>
      <c r="Y317" s="37"/>
      <c r="Z317" s="37"/>
      <c r="AA317" s="426"/>
      <c r="AB317" s="426"/>
      <c r="AC317" s="426"/>
      <c r="AD317" s="426"/>
      <c r="AE317" s="426"/>
      <c r="AF317" s="426"/>
      <c r="AG317" s="426"/>
      <c r="AH317" s="426"/>
      <c r="AI317" s="426"/>
      <c r="AJ317" s="426"/>
      <c r="AK317" s="426"/>
      <c r="AL317" s="426"/>
      <c r="AM317" s="426"/>
    </row>
    <row r="318" spans="1:39">
      <c r="A318" s="50"/>
      <c r="B318" s="52">
        <v>9999</v>
      </c>
      <c r="C318" s="53" t="s">
        <v>191</v>
      </c>
      <c r="D318" s="55" t="s">
        <v>1274</v>
      </c>
      <c r="E318" s="53">
        <v>54</v>
      </c>
      <c r="F318" s="56" t="s">
        <v>1275</v>
      </c>
      <c r="G318" s="57" t="s">
        <v>358</v>
      </c>
      <c r="H318" s="58">
        <v>45000</v>
      </c>
      <c r="I318" s="59"/>
      <c r="J318" s="60" t="s">
        <v>1483</v>
      </c>
      <c r="K318" s="623" t="s">
        <v>1483</v>
      </c>
      <c r="L318" s="62"/>
      <c r="M318" s="64"/>
      <c r="N318" s="65"/>
      <c r="O318" s="65"/>
      <c r="P318" s="65"/>
      <c r="Q318" s="65"/>
      <c r="R318" s="65"/>
      <c r="S318" s="65"/>
      <c r="T318" s="67">
        <v>30</v>
      </c>
      <c r="U318" s="67">
        <v>2582</v>
      </c>
      <c r="V318" s="68" t="s">
        <v>2301</v>
      </c>
      <c r="W318" s="69" t="e">
        <v>#REF!</v>
      </c>
      <c r="X318" s="70"/>
      <c r="Y318" s="70"/>
      <c r="Z318" s="70"/>
      <c r="AA318" s="429"/>
      <c r="AB318" s="429"/>
      <c r="AC318" s="429"/>
      <c r="AD318" s="429"/>
      <c r="AE318" s="429"/>
      <c r="AF318" s="429"/>
      <c r="AG318" s="429"/>
      <c r="AH318" s="429"/>
      <c r="AI318" s="429"/>
      <c r="AJ318" s="429"/>
      <c r="AK318" s="429"/>
      <c r="AL318" s="429"/>
      <c r="AM318" s="429"/>
    </row>
    <row r="319" spans="1:39">
      <c r="A319" s="50"/>
      <c r="B319" s="52">
        <v>9999</v>
      </c>
      <c r="C319" s="53" t="s">
        <v>63</v>
      </c>
      <c r="D319" s="55" t="s">
        <v>1278</v>
      </c>
      <c r="E319" s="53">
        <v>58</v>
      </c>
      <c r="F319" s="56" t="s">
        <v>1279</v>
      </c>
      <c r="G319" s="57" t="s">
        <v>28</v>
      </c>
      <c r="H319" s="58">
        <v>9600000</v>
      </c>
      <c r="I319" s="59"/>
      <c r="J319" s="60" t="s">
        <v>4105</v>
      </c>
      <c r="K319" s="61"/>
      <c r="L319" s="62"/>
      <c r="M319" s="64"/>
      <c r="N319" s="65"/>
      <c r="O319" s="65"/>
      <c r="P319" s="65"/>
      <c r="Q319" s="65"/>
      <c r="R319" s="65"/>
      <c r="S319" s="65"/>
      <c r="T319" s="67">
        <v>20</v>
      </c>
      <c r="U319" s="67">
        <v>2576</v>
      </c>
      <c r="V319" s="68" t="s">
        <v>2301</v>
      </c>
      <c r="W319" s="69" t="e">
        <v>#REF!</v>
      </c>
      <c r="X319" s="70"/>
      <c r="Y319" s="70"/>
      <c r="Z319" s="70"/>
      <c r="AA319" s="429"/>
      <c r="AB319" s="429"/>
      <c r="AC319" s="429"/>
      <c r="AD319" s="429"/>
      <c r="AE319" s="429"/>
      <c r="AF319" s="429"/>
      <c r="AG319" s="429"/>
      <c r="AH319" s="429"/>
      <c r="AI319" s="429"/>
      <c r="AJ319" s="429"/>
      <c r="AK319" s="429"/>
      <c r="AL319" s="429"/>
      <c r="AM319" s="429"/>
    </row>
    <row r="320" spans="1:39">
      <c r="A320" s="629"/>
      <c r="B320" s="629">
        <v>10000</v>
      </c>
      <c r="C320" s="625"/>
      <c r="D320" s="630"/>
      <c r="E320" s="37"/>
      <c r="F320" s="629"/>
      <c r="G320" s="629"/>
      <c r="H320" s="629"/>
      <c r="I320" s="625"/>
      <c r="J320" s="625"/>
      <c r="K320" s="37"/>
      <c r="L320" s="37"/>
      <c r="M320" s="629"/>
      <c r="N320" s="629"/>
      <c r="O320" s="629"/>
      <c r="P320" s="625"/>
      <c r="Q320" s="625"/>
      <c r="R320" s="37"/>
      <c r="S320" s="37"/>
      <c r="T320" s="629"/>
      <c r="U320" s="629"/>
      <c r="V320" s="37">
        <v>100</v>
      </c>
      <c r="W320" s="37">
        <v>92</v>
      </c>
      <c r="X320" s="625"/>
      <c r="Y320" s="37"/>
      <c r="Z320" s="37"/>
      <c r="AA320" s="426"/>
      <c r="AB320" s="426"/>
      <c r="AC320" s="426"/>
      <c r="AD320" s="426"/>
      <c r="AE320" s="426"/>
      <c r="AF320" s="426"/>
      <c r="AG320" s="426"/>
      <c r="AH320" s="426"/>
      <c r="AI320" s="426"/>
      <c r="AJ320" s="426"/>
      <c r="AK320" s="426"/>
      <c r="AL320" s="426"/>
      <c r="AM320" s="426"/>
    </row>
    <row r="321" spans="1:39">
      <c r="A321" s="50"/>
      <c r="B321" s="52" t="s">
        <v>1282</v>
      </c>
      <c r="C321" s="53" t="s">
        <v>25</v>
      </c>
      <c r="D321" s="55" t="s">
        <v>26</v>
      </c>
      <c r="E321" s="53"/>
      <c r="F321" s="634" t="s">
        <v>993</v>
      </c>
      <c r="G321" s="57" t="s">
        <v>48</v>
      </c>
      <c r="H321" s="58">
        <v>14800</v>
      </c>
      <c r="I321" s="59"/>
      <c r="J321" s="60" t="s">
        <v>4106</v>
      </c>
      <c r="K321" s="61"/>
      <c r="L321" s="62"/>
      <c r="M321" s="64"/>
      <c r="N321" s="65"/>
      <c r="O321" s="65"/>
      <c r="P321" s="65"/>
      <c r="Q321" s="65"/>
      <c r="R321" s="65"/>
      <c r="S321" s="65"/>
      <c r="T321" s="67"/>
      <c r="U321" s="67"/>
      <c r="V321" s="68" t="s">
        <v>4107</v>
      </c>
      <c r="W321" s="69" t="e">
        <v>#REF!</v>
      </c>
      <c r="X321" s="70"/>
      <c r="Y321" s="70"/>
      <c r="Z321" s="70"/>
      <c r="AA321" s="429"/>
      <c r="AB321" s="429"/>
      <c r="AC321" s="429"/>
      <c r="AD321" s="429"/>
      <c r="AE321" s="429"/>
      <c r="AF321" s="429"/>
      <c r="AG321" s="429"/>
      <c r="AH321" s="429"/>
      <c r="AI321" s="429"/>
      <c r="AJ321" s="429"/>
      <c r="AK321" s="429"/>
      <c r="AL321" s="429"/>
      <c r="AM321" s="429"/>
    </row>
    <row r="322" spans="1:39">
      <c r="A322" s="50"/>
      <c r="B322" s="52" t="s">
        <v>1283</v>
      </c>
      <c r="C322" s="53" t="s">
        <v>25</v>
      </c>
      <c r="D322" s="55" t="s">
        <v>26</v>
      </c>
      <c r="E322" s="53"/>
      <c r="F322" s="635" t="s">
        <v>782</v>
      </c>
      <c r="G322" s="57" t="s">
        <v>78</v>
      </c>
      <c r="H322" s="58">
        <v>670000</v>
      </c>
      <c r="I322" s="59"/>
      <c r="J322" s="60" t="s">
        <v>4106</v>
      </c>
      <c r="K322" s="61"/>
      <c r="L322" s="62"/>
      <c r="M322" s="64"/>
      <c r="N322" s="65"/>
      <c r="O322" s="65"/>
      <c r="P322" s="65"/>
      <c r="Q322" s="65"/>
      <c r="R322" s="65"/>
      <c r="S322" s="65"/>
      <c r="T322" s="67"/>
      <c r="U322" s="67"/>
      <c r="V322" s="68" t="s">
        <v>4107</v>
      </c>
      <c r="W322" s="69" t="e">
        <v>#REF!</v>
      </c>
      <c r="X322" s="70"/>
      <c r="Y322" s="70"/>
      <c r="Z322" s="70"/>
      <c r="AA322" s="429"/>
      <c r="AB322" s="429"/>
      <c r="AC322" s="429"/>
      <c r="AD322" s="429"/>
      <c r="AE322" s="429"/>
      <c r="AF322" s="429"/>
      <c r="AG322" s="429"/>
      <c r="AH322" s="429"/>
      <c r="AI322" s="429"/>
      <c r="AJ322" s="429"/>
      <c r="AK322" s="429"/>
      <c r="AL322" s="429"/>
      <c r="AM322" s="429"/>
    </row>
    <row r="323" spans="1:39">
      <c r="A323" s="50"/>
      <c r="B323" s="52" t="s">
        <v>1284</v>
      </c>
      <c r="C323" s="53" t="s">
        <v>25</v>
      </c>
      <c r="D323" s="55" t="s">
        <v>26</v>
      </c>
      <c r="E323" s="53"/>
      <c r="F323" s="635" t="s">
        <v>1086</v>
      </c>
      <c r="G323" s="57" t="s">
        <v>78</v>
      </c>
      <c r="H323" s="58">
        <v>150000</v>
      </c>
      <c r="I323" s="59"/>
      <c r="J323" s="60" t="s">
        <v>4106</v>
      </c>
      <c r="K323" s="61"/>
      <c r="L323" s="62"/>
      <c r="M323" s="64"/>
      <c r="N323" s="65"/>
      <c r="O323" s="65"/>
      <c r="P323" s="65"/>
      <c r="Q323" s="65"/>
      <c r="R323" s="65"/>
      <c r="S323" s="65"/>
      <c r="T323" s="67"/>
      <c r="U323" s="67"/>
      <c r="V323" s="68" t="s">
        <v>4107</v>
      </c>
      <c r="W323" s="69" t="e">
        <v>#REF!</v>
      </c>
      <c r="X323" s="70"/>
      <c r="Y323" s="70"/>
      <c r="Z323" s="70"/>
      <c r="AA323" s="429"/>
      <c r="AB323" s="429"/>
      <c r="AC323" s="429"/>
      <c r="AD323" s="429"/>
      <c r="AE323" s="429"/>
      <c r="AF323" s="429"/>
      <c r="AG323" s="429"/>
      <c r="AH323" s="429"/>
      <c r="AI323" s="429"/>
      <c r="AJ323" s="429"/>
      <c r="AK323" s="429"/>
      <c r="AL323" s="429"/>
      <c r="AM323" s="429"/>
    </row>
    <row r="324" spans="1:39">
      <c r="A324" s="50"/>
      <c r="B324" s="52" t="s">
        <v>1287</v>
      </c>
      <c r="C324" s="53" t="s">
        <v>25</v>
      </c>
      <c r="D324" s="55" t="s">
        <v>26</v>
      </c>
      <c r="E324" s="53"/>
      <c r="F324" s="635" t="s">
        <v>1288</v>
      </c>
      <c r="G324" s="57" t="s">
        <v>78</v>
      </c>
      <c r="H324" s="58">
        <v>246000</v>
      </c>
      <c r="I324" s="59"/>
      <c r="J324" s="60" t="s">
        <v>4106</v>
      </c>
      <c r="K324" s="61"/>
      <c r="L324" s="62"/>
      <c r="M324" s="64"/>
      <c r="N324" s="65"/>
      <c r="O324" s="65"/>
      <c r="P324" s="65"/>
      <c r="Q324" s="65"/>
      <c r="R324" s="65"/>
      <c r="S324" s="65"/>
      <c r="T324" s="67"/>
      <c r="U324" s="67"/>
      <c r="V324" s="68" t="s">
        <v>4107</v>
      </c>
      <c r="W324" s="69" t="e">
        <v>#REF!</v>
      </c>
      <c r="X324" s="70"/>
      <c r="Y324" s="70"/>
      <c r="Z324" s="70"/>
      <c r="AA324" s="429"/>
      <c r="AB324" s="429"/>
      <c r="AC324" s="429"/>
      <c r="AD324" s="429"/>
      <c r="AE324" s="429"/>
      <c r="AF324" s="429"/>
      <c r="AG324" s="429"/>
      <c r="AH324" s="429"/>
      <c r="AI324" s="429"/>
      <c r="AJ324" s="429"/>
      <c r="AK324" s="429"/>
      <c r="AL324" s="429"/>
      <c r="AM324" s="429"/>
    </row>
    <row r="325" spans="1:39">
      <c r="A325" s="50"/>
      <c r="B325" s="52" t="s">
        <v>1289</v>
      </c>
      <c r="C325" s="53" t="s">
        <v>25</v>
      </c>
      <c r="D325" s="55" t="s">
        <v>26</v>
      </c>
      <c r="E325" s="53"/>
      <c r="F325" s="635" t="s">
        <v>1290</v>
      </c>
      <c r="G325" s="57" t="s">
        <v>78</v>
      </c>
      <c r="H325" s="58">
        <v>1247000</v>
      </c>
      <c r="I325" s="59"/>
      <c r="J325" s="60" t="s">
        <v>4106</v>
      </c>
      <c r="K325" s="61"/>
      <c r="L325" s="62"/>
      <c r="M325" s="64"/>
      <c r="N325" s="65"/>
      <c r="O325" s="65"/>
      <c r="P325" s="65"/>
      <c r="Q325" s="65"/>
      <c r="R325" s="65"/>
      <c r="S325" s="65"/>
      <c r="T325" s="67"/>
      <c r="U325" s="67"/>
      <c r="V325" s="68" t="s">
        <v>4107</v>
      </c>
      <c r="W325" s="69" t="e">
        <v>#REF!</v>
      </c>
      <c r="X325" s="70"/>
      <c r="Y325" s="70"/>
      <c r="Z325" s="70"/>
      <c r="AA325" s="429"/>
      <c r="AB325" s="429"/>
      <c r="AC325" s="429"/>
      <c r="AD325" s="429"/>
      <c r="AE325" s="429"/>
      <c r="AF325" s="429"/>
      <c r="AG325" s="429"/>
      <c r="AH325" s="429"/>
      <c r="AI325" s="429"/>
      <c r="AJ325" s="429"/>
      <c r="AK325" s="429"/>
      <c r="AL325" s="429"/>
      <c r="AM325" s="429"/>
    </row>
    <row r="326" spans="1:39">
      <c r="A326" s="50"/>
      <c r="B326" s="52" t="s">
        <v>1293</v>
      </c>
      <c r="C326" s="53" t="s">
        <v>25</v>
      </c>
      <c r="D326" s="55" t="s">
        <v>26</v>
      </c>
      <c r="E326" s="53"/>
      <c r="F326" s="635" t="s">
        <v>1098</v>
      </c>
      <c r="G326" s="57" t="s">
        <v>78</v>
      </c>
      <c r="H326" s="58">
        <v>408000</v>
      </c>
      <c r="I326" s="59"/>
      <c r="J326" s="60" t="s">
        <v>4106</v>
      </c>
      <c r="K326" s="61"/>
      <c r="L326" s="62"/>
      <c r="M326" s="64"/>
      <c r="N326" s="65"/>
      <c r="O326" s="65"/>
      <c r="P326" s="65"/>
      <c r="Q326" s="65"/>
      <c r="R326" s="65"/>
      <c r="S326" s="65"/>
      <c r="T326" s="67"/>
      <c r="U326" s="67"/>
      <c r="V326" s="68" t="s">
        <v>4107</v>
      </c>
      <c r="W326" s="69" t="e">
        <v>#REF!</v>
      </c>
      <c r="X326" s="70"/>
      <c r="Y326" s="70"/>
      <c r="Z326" s="70"/>
      <c r="AA326" s="429"/>
      <c r="AB326" s="429"/>
      <c r="AC326" s="429"/>
      <c r="AD326" s="429"/>
      <c r="AE326" s="429"/>
      <c r="AF326" s="429"/>
      <c r="AG326" s="429"/>
      <c r="AH326" s="429"/>
      <c r="AI326" s="429"/>
      <c r="AJ326" s="429"/>
      <c r="AK326" s="429"/>
      <c r="AL326" s="429"/>
      <c r="AM326" s="429"/>
    </row>
    <row r="327" spans="1:39">
      <c r="A327" s="50"/>
      <c r="B327" s="52" t="s">
        <v>1294</v>
      </c>
      <c r="C327" s="53" t="s">
        <v>25</v>
      </c>
      <c r="D327" s="55" t="s">
        <v>26</v>
      </c>
      <c r="E327" s="53"/>
      <c r="F327" s="635" t="s">
        <v>1295</v>
      </c>
      <c r="G327" s="57" t="s">
        <v>78</v>
      </c>
      <c r="H327" s="58">
        <v>1700000</v>
      </c>
      <c r="I327" s="59"/>
      <c r="J327" s="60" t="s">
        <v>4106</v>
      </c>
      <c r="K327" s="61"/>
      <c r="L327" s="62"/>
      <c r="M327" s="64"/>
      <c r="N327" s="65"/>
      <c r="O327" s="65"/>
      <c r="P327" s="65"/>
      <c r="Q327" s="65"/>
      <c r="R327" s="65"/>
      <c r="S327" s="65"/>
      <c r="T327" s="67"/>
      <c r="U327" s="67"/>
      <c r="V327" s="68" t="s">
        <v>4107</v>
      </c>
      <c r="W327" s="69" t="e">
        <v>#REF!</v>
      </c>
      <c r="X327" s="70"/>
      <c r="Y327" s="70"/>
      <c r="Z327" s="70"/>
      <c r="AA327" s="429"/>
      <c r="AB327" s="429"/>
      <c r="AC327" s="429"/>
      <c r="AD327" s="429"/>
      <c r="AE327" s="429"/>
      <c r="AF327" s="429"/>
      <c r="AG327" s="429"/>
      <c r="AH327" s="429"/>
      <c r="AI327" s="429"/>
      <c r="AJ327" s="429"/>
      <c r="AK327" s="429"/>
      <c r="AL327" s="429"/>
      <c r="AM327" s="429"/>
    </row>
    <row r="328" spans="1:39">
      <c r="A328" s="50"/>
      <c r="B328" s="52" t="s">
        <v>1296</v>
      </c>
      <c r="C328" s="53" t="s">
        <v>25</v>
      </c>
      <c r="D328" s="55" t="s">
        <v>26</v>
      </c>
      <c r="E328" s="53"/>
      <c r="F328" s="635" t="s">
        <v>1100</v>
      </c>
      <c r="G328" s="57" t="s">
        <v>78</v>
      </c>
      <c r="H328" s="58">
        <v>23300</v>
      </c>
      <c r="I328" s="59"/>
      <c r="J328" s="60" t="s">
        <v>4106</v>
      </c>
      <c r="K328" s="61"/>
      <c r="L328" s="62"/>
      <c r="M328" s="64"/>
      <c r="N328" s="65"/>
      <c r="O328" s="65"/>
      <c r="P328" s="65"/>
      <c r="Q328" s="65"/>
      <c r="R328" s="65"/>
      <c r="S328" s="65"/>
      <c r="T328" s="67"/>
      <c r="U328" s="67"/>
      <c r="V328" s="68" t="s">
        <v>4107</v>
      </c>
      <c r="W328" s="69" t="e">
        <v>#REF!</v>
      </c>
      <c r="X328" s="70"/>
      <c r="Y328" s="70"/>
      <c r="Z328" s="70"/>
      <c r="AA328" s="429"/>
      <c r="AB328" s="429"/>
      <c r="AC328" s="429"/>
      <c r="AD328" s="429"/>
      <c r="AE328" s="429"/>
      <c r="AF328" s="429"/>
      <c r="AG328" s="429"/>
      <c r="AH328" s="429"/>
      <c r="AI328" s="429"/>
      <c r="AJ328" s="429"/>
      <c r="AK328" s="429"/>
      <c r="AL328" s="429"/>
      <c r="AM328" s="429"/>
    </row>
    <row r="329" spans="1:39">
      <c r="A329" s="50"/>
      <c r="B329" s="52" t="s">
        <v>140</v>
      </c>
      <c r="C329" s="53" t="s">
        <v>25</v>
      </c>
      <c r="D329" s="55" t="s">
        <v>26</v>
      </c>
      <c r="E329" s="53"/>
      <c r="F329" s="635" t="s">
        <v>1102</v>
      </c>
      <c r="G329" s="57" t="s">
        <v>78</v>
      </c>
      <c r="H329" s="58">
        <v>2364000</v>
      </c>
      <c r="I329" s="59"/>
      <c r="J329" s="60" t="s">
        <v>4106</v>
      </c>
      <c r="K329" s="61"/>
      <c r="L329" s="62"/>
      <c r="M329" s="64"/>
      <c r="N329" s="65"/>
      <c r="O329" s="65"/>
      <c r="P329" s="65"/>
      <c r="Q329" s="65"/>
      <c r="R329" s="65"/>
      <c r="S329" s="65"/>
      <c r="T329" s="67"/>
      <c r="U329" s="67"/>
      <c r="V329" s="68" t="s">
        <v>4107</v>
      </c>
      <c r="W329" s="69" t="e">
        <v>#REF!</v>
      </c>
      <c r="X329" s="70"/>
      <c r="Y329" s="70"/>
      <c r="Z329" s="70"/>
      <c r="AA329" s="429"/>
      <c r="AB329" s="429"/>
      <c r="AC329" s="429"/>
      <c r="AD329" s="429"/>
      <c r="AE329" s="429"/>
      <c r="AF329" s="429"/>
      <c r="AG329" s="429"/>
      <c r="AH329" s="429"/>
      <c r="AI329" s="429"/>
      <c r="AJ329" s="429"/>
      <c r="AK329" s="429"/>
      <c r="AL329" s="429"/>
      <c r="AM329" s="429"/>
    </row>
    <row r="330" spans="1:39">
      <c r="A330" s="50"/>
      <c r="B330" s="52" t="s">
        <v>1297</v>
      </c>
      <c r="C330" s="53" t="s">
        <v>25</v>
      </c>
      <c r="D330" s="55" t="s">
        <v>26</v>
      </c>
      <c r="E330" s="53"/>
      <c r="F330" s="635" t="s">
        <v>1104</v>
      </c>
      <c r="G330" s="57" t="s">
        <v>78</v>
      </c>
      <c r="H330" s="58">
        <v>3350000</v>
      </c>
      <c r="I330" s="59"/>
      <c r="J330" s="60" t="s">
        <v>4106</v>
      </c>
      <c r="K330" s="61"/>
      <c r="L330" s="62"/>
      <c r="M330" s="64"/>
      <c r="N330" s="65"/>
      <c r="O330" s="65"/>
      <c r="P330" s="65"/>
      <c r="Q330" s="65"/>
      <c r="R330" s="65"/>
      <c r="S330" s="65"/>
      <c r="T330" s="67"/>
      <c r="U330" s="67"/>
      <c r="V330" s="68" t="s">
        <v>4107</v>
      </c>
      <c r="W330" s="69" t="e">
        <v>#REF!</v>
      </c>
      <c r="X330" s="70"/>
      <c r="Y330" s="70"/>
      <c r="Z330" s="70"/>
      <c r="AA330" s="429"/>
      <c r="AB330" s="429"/>
      <c r="AC330" s="429"/>
      <c r="AD330" s="429"/>
      <c r="AE330" s="429"/>
      <c r="AF330" s="429"/>
      <c r="AG330" s="429"/>
      <c r="AH330" s="429"/>
      <c r="AI330" s="429"/>
      <c r="AJ330" s="429"/>
      <c r="AK330" s="429"/>
      <c r="AL330" s="429"/>
      <c r="AM330" s="429"/>
    </row>
    <row r="331" spans="1:39">
      <c r="A331" s="50"/>
      <c r="B331" s="52" t="s">
        <v>1298</v>
      </c>
      <c r="C331" s="53" t="s">
        <v>25</v>
      </c>
      <c r="D331" s="55" t="s">
        <v>26</v>
      </c>
      <c r="E331" s="53"/>
      <c r="F331" s="635" t="s">
        <v>1299</v>
      </c>
      <c r="G331" s="57" t="s">
        <v>78</v>
      </c>
      <c r="H331" s="58">
        <v>500000</v>
      </c>
      <c r="I331" s="59"/>
      <c r="J331" s="60" t="s">
        <v>4106</v>
      </c>
      <c r="K331" s="61"/>
      <c r="L331" s="62"/>
      <c r="M331" s="64"/>
      <c r="N331" s="65"/>
      <c r="O331" s="65"/>
      <c r="P331" s="65"/>
      <c r="Q331" s="65"/>
      <c r="R331" s="65"/>
      <c r="S331" s="65"/>
      <c r="T331" s="67"/>
      <c r="U331" s="67"/>
      <c r="V331" s="68" t="s">
        <v>4107</v>
      </c>
      <c r="W331" s="69" t="e">
        <v>#REF!</v>
      </c>
      <c r="X331" s="70"/>
      <c r="Y331" s="70"/>
      <c r="Z331" s="70"/>
      <c r="AA331" s="429"/>
      <c r="AB331" s="429"/>
      <c r="AC331" s="429"/>
      <c r="AD331" s="429"/>
      <c r="AE331" s="429"/>
      <c r="AF331" s="429"/>
      <c r="AG331" s="429"/>
      <c r="AH331" s="429"/>
      <c r="AI331" s="429"/>
      <c r="AJ331" s="429"/>
      <c r="AK331" s="429"/>
      <c r="AL331" s="429"/>
      <c r="AM331" s="429"/>
    </row>
    <row r="332" spans="1:39">
      <c r="A332" s="50"/>
      <c r="B332" s="52" t="s">
        <v>1300</v>
      </c>
      <c r="C332" s="53" t="s">
        <v>25</v>
      </c>
      <c r="D332" s="55" t="s">
        <v>26</v>
      </c>
      <c r="E332" s="53"/>
      <c r="F332" s="635" t="s">
        <v>787</v>
      </c>
      <c r="G332" s="57" t="s">
        <v>78</v>
      </c>
      <c r="H332" s="58">
        <v>52000</v>
      </c>
      <c r="I332" s="59"/>
      <c r="J332" s="60" t="s">
        <v>4106</v>
      </c>
      <c r="K332" s="61"/>
      <c r="L332" s="62"/>
      <c r="M332" s="64"/>
      <c r="N332" s="65"/>
      <c r="O332" s="65"/>
      <c r="P332" s="65"/>
      <c r="Q332" s="65"/>
      <c r="R332" s="65"/>
      <c r="S332" s="65"/>
      <c r="T332" s="67"/>
      <c r="U332" s="67"/>
      <c r="V332" s="68" t="s">
        <v>4107</v>
      </c>
      <c r="W332" s="69" t="e">
        <v>#REF!</v>
      </c>
      <c r="X332" s="70"/>
      <c r="Y332" s="70"/>
      <c r="Z332" s="70"/>
      <c r="AA332" s="429"/>
      <c r="AB332" s="429"/>
      <c r="AC332" s="429"/>
      <c r="AD332" s="429"/>
      <c r="AE332" s="429"/>
      <c r="AF332" s="429"/>
      <c r="AG332" s="429"/>
      <c r="AH332" s="429"/>
      <c r="AI332" s="429"/>
      <c r="AJ332" s="429"/>
      <c r="AK332" s="429"/>
      <c r="AL332" s="429"/>
      <c r="AM332" s="429"/>
    </row>
    <row r="333" spans="1:39">
      <c r="A333" s="50"/>
      <c r="B333" s="52" t="s">
        <v>1301</v>
      </c>
      <c r="C333" s="53" t="s">
        <v>25</v>
      </c>
      <c r="D333" s="55" t="s">
        <v>26</v>
      </c>
      <c r="E333" s="53"/>
      <c r="F333" s="635" t="s">
        <v>1302</v>
      </c>
      <c r="G333" s="57" t="s">
        <v>78</v>
      </c>
      <c r="H333" s="58">
        <v>8300</v>
      </c>
      <c r="I333" s="59"/>
      <c r="J333" s="60" t="s">
        <v>4106</v>
      </c>
      <c r="K333" s="61"/>
      <c r="L333" s="62"/>
      <c r="M333" s="64"/>
      <c r="N333" s="65"/>
      <c r="O333" s="65"/>
      <c r="P333" s="65"/>
      <c r="Q333" s="65"/>
      <c r="R333" s="65"/>
      <c r="S333" s="65"/>
      <c r="T333" s="67"/>
      <c r="U333" s="67"/>
      <c r="V333" s="68" t="s">
        <v>4107</v>
      </c>
      <c r="W333" s="69" t="e">
        <v>#REF!</v>
      </c>
      <c r="X333" s="70"/>
      <c r="Y333" s="70"/>
      <c r="Z333" s="70"/>
      <c r="AA333" s="429"/>
      <c r="AB333" s="429"/>
      <c r="AC333" s="429"/>
      <c r="AD333" s="429"/>
      <c r="AE333" s="429"/>
      <c r="AF333" s="429"/>
      <c r="AG333" s="429"/>
      <c r="AH333" s="429"/>
      <c r="AI333" s="429"/>
      <c r="AJ333" s="429"/>
      <c r="AK333" s="429"/>
      <c r="AL333" s="429"/>
      <c r="AM333" s="429"/>
    </row>
    <row r="334" spans="1:39">
      <c r="A334" s="50"/>
      <c r="B334" s="52" t="s">
        <v>1303</v>
      </c>
      <c r="C334" s="53" t="s">
        <v>25</v>
      </c>
      <c r="D334" s="55" t="s">
        <v>26</v>
      </c>
      <c r="E334" s="53"/>
      <c r="F334" s="635" t="s">
        <v>1304</v>
      </c>
      <c r="G334" s="57" t="s">
        <v>78</v>
      </c>
      <c r="H334" s="58">
        <v>9300</v>
      </c>
      <c r="I334" s="59"/>
      <c r="J334" s="60" t="s">
        <v>4106</v>
      </c>
      <c r="K334" s="61"/>
      <c r="L334" s="62"/>
      <c r="M334" s="64"/>
      <c r="N334" s="65"/>
      <c r="O334" s="65"/>
      <c r="P334" s="65"/>
      <c r="Q334" s="65"/>
      <c r="R334" s="65"/>
      <c r="S334" s="65"/>
      <c r="T334" s="67"/>
      <c r="U334" s="67"/>
      <c r="V334" s="68" t="s">
        <v>4107</v>
      </c>
      <c r="W334" s="69" t="e">
        <v>#REF!</v>
      </c>
      <c r="X334" s="70"/>
      <c r="Y334" s="70"/>
      <c r="Z334" s="70"/>
      <c r="AA334" s="429"/>
      <c r="AB334" s="429"/>
      <c r="AC334" s="429"/>
      <c r="AD334" s="429"/>
      <c r="AE334" s="429"/>
      <c r="AF334" s="429"/>
      <c r="AG334" s="429"/>
      <c r="AH334" s="429"/>
      <c r="AI334" s="429"/>
      <c r="AJ334" s="429"/>
      <c r="AK334" s="429"/>
      <c r="AL334" s="429"/>
      <c r="AM334" s="429"/>
    </row>
    <row r="335" spans="1:39">
      <c r="A335" s="50"/>
      <c r="B335" s="52" t="s">
        <v>1305</v>
      </c>
      <c r="C335" s="53" t="s">
        <v>25</v>
      </c>
      <c r="D335" s="55" t="s">
        <v>26</v>
      </c>
      <c r="E335" s="53"/>
      <c r="F335" s="635" t="s">
        <v>1306</v>
      </c>
      <c r="G335" s="57" t="s">
        <v>78</v>
      </c>
      <c r="H335" s="58">
        <v>7600</v>
      </c>
      <c r="I335" s="59"/>
      <c r="J335" s="60" t="s">
        <v>4106</v>
      </c>
      <c r="K335" s="61"/>
      <c r="L335" s="62"/>
      <c r="M335" s="64"/>
      <c r="N335" s="65"/>
      <c r="O335" s="65"/>
      <c r="P335" s="65"/>
      <c r="Q335" s="65"/>
      <c r="R335" s="65"/>
      <c r="S335" s="65"/>
      <c r="T335" s="67"/>
      <c r="U335" s="67"/>
      <c r="V335" s="68" t="s">
        <v>4107</v>
      </c>
      <c r="W335" s="69" t="e">
        <v>#REF!</v>
      </c>
      <c r="X335" s="70"/>
      <c r="Y335" s="70"/>
      <c r="Z335" s="70"/>
      <c r="AA335" s="429"/>
      <c r="AB335" s="429"/>
      <c r="AC335" s="429"/>
      <c r="AD335" s="429"/>
      <c r="AE335" s="429"/>
      <c r="AF335" s="429"/>
      <c r="AG335" s="429"/>
      <c r="AH335" s="429"/>
      <c r="AI335" s="429"/>
      <c r="AJ335" s="429"/>
      <c r="AK335" s="429"/>
      <c r="AL335" s="429"/>
      <c r="AM335" s="429"/>
    </row>
    <row r="336" spans="1:39">
      <c r="A336" s="50"/>
      <c r="B336" s="52" t="s">
        <v>1307</v>
      </c>
      <c r="C336" s="53" t="s">
        <v>25</v>
      </c>
      <c r="D336" s="55" t="s">
        <v>26</v>
      </c>
      <c r="E336" s="53"/>
      <c r="F336" s="635" t="s">
        <v>1308</v>
      </c>
      <c r="G336" s="57" t="s">
        <v>78</v>
      </c>
      <c r="H336" s="58">
        <v>20000</v>
      </c>
      <c r="I336" s="59"/>
      <c r="J336" s="60" t="s">
        <v>4106</v>
      </c>
      <c r="K336" s="61"/>
      <c r="L336" s="62"/>
      <c r="M336" s="64"/>
      <c r="N336" s="65"/>
      <c r="O336" s="65"/>
      <c r="P336" s="65"/>
      <c r="Q336" s="65"/>
      <c r="R336" s="65"/>
      <c r="S336" s="65"/>
      <c r="T336" s="67"/>
      <c r="U336" s="67"/>
      <c r="V336" s="68" t="s">
        <v>4107</v>
      </c>
      <c r="W336" s="69" t="e">
        <v>#REF!</v>
      </c>
      <c r="X336" s="70"/>
      <c r="Y336" s="70"/>
      <c r="Z336" s="70"/>
      <c r="AA336" s="429"/>
      <c r="AB336" s="429"/>
      <c r="AC336" s="429"/>
      <c r="AD336" s="429"/>
      <c r="AE336" s="429"/>
      <c r="AF336" s="429"/>
      <c r="AG336" s="429"/>
      <c r="AH336" s="429"/>
      <c r="AI336" s="429"/>
      <c r="AJ336" s="429"/>
      <c r="AK336" s="429"/>
      <c r="AL336" s="429"/>
      <c r="AM336" s="429"/>
    </row>
    <row r="337" spans="1:39">
      <c r="A337" s="50"/>
      <c r="B337" s="52" t="s">
        <v>1309</v>
      </c>
      <c r="C337" s="53" t="s">
        <v>25</v>
      </c>
      <c r="D337" s="55" t="s">
        <v>26</v>
      </c>
      <c r="E337" s="53"/>
      <c r="F337" s="635" t="s">
        <v>1310</v>
      </c>
      <c r="G337" s="57" t="s">
        <v>48</v>
      </c>
      <c r="H337" s="58">
        <v>5500</v>
      </c>
      <c r="I337" s="59"/>
      <c r="J337" s="60" t="s">
        <v>4106</v>
      </c>
      <c r="K337" s="61"/>
      <c r="L337" s="62"/>
      <c r="M337" s="64"/>
      <c r="N337" s="65"/>
      <c r="O337" s="65"/>
      <c r="P337" s="65"/>
      <c r="Q337" s="65"/>
      <c r="R337" s="65"/>
      <c r="S337" s="65"/>
      <c r="T337" s="67"/>
      <c r="U337" s="67"/>
      <c r="V337" s="68" t="s">
        <v>4107</v>
      </c>
      <c r="W337" s="69" t="e">
        <v>#REF!</v>
      </c>
      <c r="X337" s="70"/>
      <c r="Y337" s="70"/>
      <c r="Z337" s="70"/>
      <c r="AA337" s="429"/>
      <c r="AB337" s="429"/>
      <c r="AC337" s="429"/>
      <c r="AD337" s="429"/>
      <c r="AE337" s="429"/>
      <c r="AF337" s="429"/>
      <c r="AG337" s="429"/>
      <c r="AH337" s="429"/>
      <c r="AI337" s="429"/>
      <c r="AJ337" s="429"/>
      <c r="AK337" s="429"/>
      <c r="AL337" s="429"/>
      <c r="AM337" s="429"/>
    </row>
    <row r="338" spans="1:39">
      <c r="A338" s="50"/>
      <c r="B338" s="52" t="s">
        <v>1311</v>
      </c>
      <c r="C338" s="53" t="s">
        <v>25</v>
      </c>
      <c r="D338" s="55" t="s">
        <v>26</v>
      </c>
      <c r="E338" s="53"/>
      <c r="F338" s="635" t="s">
        <v>1312</v>
      </c>
      <c r="G338" s="57" t="s">
        <v>48</v>
      </c>
      <c r="H338" s="58">
        <v>5800</v>
      </c>
      <c r="I338" s="59"/>
      <c r="J338" s="60" t="s">
        <v>4106</v>
      </c>
      <c r="K338" s="61"/>
      <c r="L338" s="62"/>
      <c r="M338" s="64"/>
      <c r="N338" s="65"/>
      <c r="O338" s="65"/>
      <c r="P338" s="65"/>
      <c r="Q338" s="65"/>
      <c r="R338" s="65"/>
      <c r="S338" s="65"/>
      <c r="T338" s="67"/>
      <c r="U338" s="67"/>
      <c r="V338" s="68" t="s">
        <v>4107</v>
      </c>
      <c r="W338" s="69" t="e">
        <v>#REF!</v>
      </c>
      <c r="X338" s="70"/>
      <c r="Y338" s="70"/>
      <c r="Z338" s="70"/>
      <c r="AA338" s="429"/>
      <c r="AB338" s="429"/>
      <c r="AC338" s="429"/>
      <c r="AD338" s="429"/>
      <c r="AE338" s="429"/>
      <c r="AF338" s="429"/>
      <c r="AG338" s="429"/>
      <c r="AH338" s="429"/>
      <c r="AI338" s="429"/>
      <c r="AJ338" s="429"/>
      <c r="AK338" s="429"/>
      <c r="AL338" s="429"/>
      <c r="AM338" s="429"/>
    </row>
    <row r="339" spans="1:39">
      <c r="A339" s="50"/>
      <c r="B339" s="52" t="s">
        <v>327</v>
      </c>
      <c r="C339" s="53" t="s">
        <v>25</v>
      </c>
      <c r="D339" s="55" t="s">
        <v>26</v>
      </c>
      <c r="E339" s="53"/>
      <c r="F339" s="635" t="s">
        <v>1313</v>
      </c>
      <c r="G339" s="57" t="s">
        <v>48</v>
      </c>
      <c r="H339" s="58">
        <v>6300</v>
      </c>
      <c r="I339" s="59"/>
      <c r="J339" s="60" t="s">
        <v>4106</v>
      </c>
      <c r="K339" s="61"/>
      <c r="L339" s="62"/>
      <c r="M339" s="64"/>
      <c r="N339" s="65"/>
      <c r="O339" s="65"/>
      <c r="P339" s="65"/>
      <c r="Q339" s="65"/>
      <c r="R339" s="65"/>
      <c r="S339" s="65"/>
      <c r="T339" s="67"/>
      <c r="U339" s="67"/>
      <c r="V339" s="68" t="s">
        <v>4107</v>
      </c>
      <c r="W339" s="69" t="e">
        <v>#REF!</v>
      </c>
      <c r="X339" s="70"/>
      <c r="Y339" s="70"/>
      <c r="Z339" s="70"/>
      <c r="AA339" s="429"/>
      <c r="AB339" s="429"/>
      <c r="AC339" s="429"/>
      <c r="AD339" s="429"/>
      <c r="AE339" s="429"/>
      <c r="AF339" s="429"/>
      <c r="AG339" s="429"/>
      <c r="AH339" s="429"/>
      <c r="AI339" s="429"/>
      <c r="AJ339" s="429"/>
      <c r="AK339" s="429"/>
      <c r="AL339" s="429"/>
      <c r="AM339" s="429"/>
    </row>
    <row r="340" spans="1:39">
      <c r="A340" s="50"/>
      <c r="B340" s="52" t="s">
        <v>1314</v>
      </c>
      <c r="C340" s="53" t="s">
        <v>25</v>
      </c>
      <c r="D340" s="55" t="s">
        <v>26</v>
      </c>
      <c r="E340" s="53"/>
      <c r="F340" s="635" t="s">
        <v>1315</v>
      </c>
      <c r="G340" s="57" t="s">
        <v>48</v>
      </c>
      <c r="H340" s="58">
        <v>6500</v>
      </c>
      <c r="I340" s="59"/>
      <c r="J340" s="60" t="s">
        <v>4106</v>
      </c>
      <c r="K340" s="61"/>
      <c r="L340" s="62"/>
      <c r="M340" s="64"/>
      <c r="N340" s="65"/>
      <c r="O340" s="65"/>
      <c r="P340" s="65"/>
      <c r="Q340" s="65"/>
      <c r="R340" s="65"/>
      <c r="S340" s="65"/>
      <c r="T340" s="67"/>
      <c r="U340" s="67"/>
      <c r="V340" s="68" t="s">
        <v>4107</v>
      </c>
      <c r="W340" s="69" t="e">
        <v>#REF!</v>
      </c>
      <c r="X340" s="70"/>
      <c r="Y340" s="70"/>
      <c r="Z340" s="70"/>
      <c r="AA340" s="429"/>
      <c r="AB340" s="429"/>
      <c r="AC340" s="429"/>
      <c r="AD340" s="429"/>
      <c r="AE340" s="429"/>
      <c r="AF340" s="429"/>
      <c r="AG340" s="429"/>
      <c r="AH340" s="429"/>
      <c r="AI340" s="429"/>
      <c r="AJ340" s="429"/>
      <c r="AK340" s="429"/>
      <c r="AL340" s="429"/>
      <c r="AM340" s="429"/>
    </row>
    <row r="341" spans="1:39">
      <c r="A341" s="50"/>
      <c r="B341" s="52" t="s">
        <v>1316</v>
      </c>
      <c r="C341" s="53" t="s">
        <v>25</v>
      </c>
      <c r="D341" s="55" t="s">
        <v>26</v>
      </c>
      <c r="E341" s="53"/>
      <c r="F341" s="635" t="s">
        <v>1105</v>
      </c>
      <c r="G341" s="57" t="s">
        <v>78</v>
      </c>
      <c r="H341" s="58">
        <v>23000</v>
      </c>
      <c r="I341" s="59"/>
      <c r="J341" s="60" t="s">
        <v>4106</v>
      </c>
      <c r="K341" s="61"/>
      <c r="L341" s="62"/>
      <c r="M341" s="64"/>
      <c r="N341" s="65"/>
      <c r="O341" s="65"/>
      <c r="P341" s="65"/>
      <c r="Q341" s="65"/>
      <c r="R341" s="65"/>
      <c r="S341" s="65"/>
      <c r="T341" s="67"/>
      <c r="U341" s="67"/>
      <c r="V341" s="68" t="s">
        <v>4107</v>
      </c>
      <c r="W341" s="69" t="e">
        <v>#REF!</v>
      </c>
      <c r="X341" s="70"/>
      <c r="Y341" s="70"/>
      <c r="Z341" s="70"/>
      <c r="AA341" s="429"/>
      <c r="AB341" s="429"/>
      <c r="AC341" s="429"/>
      <c r="AD341" s="429"/>
      <c r="AE341" s="429"/>
      <c r="AF341" s="429"/>
      <c r="AG341" s="429"/>
      <c r="AH341" s="429"/>
      <c r="AI341" s="429"/>
      <c r="AJ341" s="429"/>
      <c r="AK341" s="429"/>
      <c r="AL341" s="429"/>
      <c r="AM341" s="429"/>
    </row>
    <row r="342" spans="1:39">
      <c r="A342" s="50"/>
      <c r="B342" s="52" t="s">
        <v>1317</v>
      </c>
      <c r="C342" s="53" t="s">
        <v>25</v>
      </c>
      <c r="D342" s="55" t="s">
        <v>26</v>
      </c>
      <c r="E342" s="53"/>
      <c r="F342" s="635" t="s">
        <v>1318</v>
      </c>
      <c r="G342" s="57" t="s">
        <v>78</v>
      </c>
      <c r="H342" s="58">
        <v>25900</v>
      </c>
      <c r="I342" s="59"/>
      <c r="J342" s="60" t="s">
        <v>4106</v>
      </c>
      <c r="K342" s="61"/>
      <c r="L342" s="62"/>
      <c r="M342" s="64"/>
      <c r="N342" s="65"/>
      <c r="O342" s="65"/>
      <c r="P342" s="65"/>
      <c r="Q342" s="65"/>
      <c r="R342" s="65"/>
      <c r="S342" s="65"/>
      <c r="T342" s="67"/>
      <c r="U342" s="67"/>
      <c r="V342" s="68" t="s">
        <v>4107</v>
      </c>
      <c r="W342" s="69" t="e">
        <v>#REF!</v>
      </c>
      <c r="X342" s="70"/>
      <c r="Y342" s="70"/>
      <c r="Z342" s="70"/>
      <c r="AA342" s="429"/>
      <c r="AB342" s="429"/>
      <c r="AC342" s="429"/>
      <c r="AD342" s="429"/>
      <c r="AE342" s="429"/>
      <c r="AF342" s="429"/>
      <c r="AG342" s="429"/>
      <c r="AH342" s="429"/>
      <c r="AI342" s="429"/>
      <c r="AJ342" s="429"/>
      <c r="AK342" s="429"/>
      <c r="AL342" s="429"/>
      <c r="AM342" s="429"/>
    </row>
    <row r="343" spans="1:39">
      <c r="A343" s="50"/>
      <c r="B343" s="52" t="s">
        <v>533</v>
      </c>
      <c r="C343" s="53" t="s">
        <v>25</v>
      </c>
      <c r="D343" s="55" t="s">
        <v>26</v>
      </c>
      <c r="E343" s="53"/>
      <c r="F343" s="635" t="s">
        <v>1106</v>
      </c>
      <c r="G343" s="57" t="s">
        <v>78</v>
      </c>
      <c r="H343" s="58">
        <v>28600</v>
      </c>
      <c r="I343" s="59"/>
      <c r="J343" s="60" t="s">
        <v>4106</v>
      </c>
      <c r="K343" s="61"/>
      <c r="L343" s="62"/>
      <c r="M343" s="64"/>
      <c r="N343" s="65"/>
      <c r="O343" s="65"/>
      <c r="P343" s="65"/>
      <c r="Q343" s="65"/>
      <c r="R343" s="65"/>
      <c r="S343" s="65"/>
      <c r="T343" s="67"/>
      <c r="U343" s="67"/>
      <c r="V343" s="68" t="s">
        <v>4107</v>
      </c>
      <c r="W343" s="69" t="e">
        <v>#REF!</v>
      </c>
      <c r="X343" s="70"/>
      <c r="Y343" s="70"/>
      <c r="Z343" s="70"/>
      <c r="AA343" s="429"/>
      <c r="AB343" s="429"/>
      <c r="AC343" s="429"/>
      <c r="AD343" s="429"/>
      <c r="AE343" s="429"/>
      <c r="AF343" s="429"/>
      <c r="AG343" s="429"/>
      <c r="AH343" s="429"/>
      <c r="AI343" s="429"/>
      <c r="AJ343" s="429"/>
      <c r="AK343" s="429"/>
      <c r="AL343" s="429"/>
      <c r="AM343" s="429"/>
    </row>
    <row r="344" spans="1:39">
      <c r="A344" s="50"/>
      <c r="B344" s="52" t="s">
        <v>530</v>
      </c>
      <c r="C344" s="53" t="s">
        <v>25</v>
      </c>
      <c r="D344" s="55" t="s">
        <v>26</v>
      </c>
      <c r="E344" s="53"/>
      <c r="F344" s="635" t="s">
        <v>1110</v>
      </c>
      <c r="G344" s="57" t="s">
        <v>78</v>
      </c>
      <c r="H344" s="58">
        <v>30600</v>
      </c>
      <c r="I344" s="59"/>
      <c r="J344" s="60" t="s">
        <v>4106</v>
      </c>
      <c r="K344" s="61"/>
      <c r="L344" s="62"/>
      <c r="M344" s="64"/>
      <c r="N344" s="65"/>
      <c r="O344" s="65"/>
      <c r="P344" s="65"/>
      <c r="Q344" s="65"/>
      <c r="R344" s="65"/>
      <c r="S344" s="65"/>
      <c r="T344" s="67"/>
      <c r="U344" s="67"/>
      <c r="V344" s="68" t="s">
        <v>4107</v>
      </c>
      <c r="W344" s="69" t="e">
        <v>#REF!</v>
      </c>
      <c r="X344" s="70"/>
      <c r="Y344" s="70"/>
      <c r="Z344" s="70"/>
      <c r="AA344" s="429"/>
      <c r="AB344" s="429"/>
      <c r="AC344" s="429"/>
      <c r="AD344" s="429"/>
      <c r="AE344" s="429"/>
      <c r="AF344" s="429"/>
      <c r="AG344" s="429"/>
      <c r="AH344" s="429"/>
      <c r="AI344" s="429"/>
      <c r="AJ344" s="429"/>
      <c r="AK344" s="429"/>
      <c r="AL344" s="429"/>
      <c r="AM344" s="429"/>
    </row>
    <row r="345" spans="1:39">
      <c r="A345" s="50"/>
      <c r="B345" s="52" t="s">
        <v>240</v>
      </c>
      <c r="C345" s="53" t="s">
        <v>25</v>
      </c>
      <c r="D345" s="55" t="s">
        <v>26</v>
      </c>
      <c r="E345" s="53"/>
      <c r="F345" s="635" t="s">
        <v>1113</v>
      </c>
      <c r="G345" s="57" t="s">
        <v>78</v>
      </c>
      <c r="H345" s="58">
        <v>32400</v>
      </c>
      <c r="I345" s="59"/>
      <c r="J345" s="60" t="s">
        <v>4106</v>
      </c>
      <c r="K345" s="61"/>
      <c r="L345" s="62"/>
      <c r="M345" s="64"/>
      <c r="N345" s="65"/>
      <c r="O345" s="65"/>
      <c r="P345" s="65"/>
      <c r="Q345" s="65"/>
      <c r="R345" s="65"/>
      <c r="S345" s="65"/>
      <c r="T345" s="67"/>
      <c r="U345" s="67"/>
      <c r="V345" s="68" t="s">
        <v>4107</v>
      </c>
      <c r="W345" s="69" t="e">
        <v>#REF!</v>
      </c>
      <c r="X345" s="70"/>
      <c r="Y345" s="70"/>
      <c r="Z345" s="70"/>
      <c r="AA345" s="429"/>
      <c r="AB345" s="429"/>
      <c r="AC345" s="429"/>
      <c r="AD345" s="429"/>
      <c r="AE345" s="429"/>
      <c r="AF345" s="429"/>
      <c r="AG345" s="429"/>
      <c r="AH345" s="429"/>
      <c r="AI345" s="429"/>
      <c r="AJ345" s="429"/>
      <c r="AK345" s="429"/>
      <c r="AL345" s="429"/>
      <c r="AM345" s="429"/>
    </row>
    <row r="346" spans="1:39">
      <c r="A346" s="50"/>
      <c r="B346" s="52" t="s">
        <v>242</v>
      </c>
      <c r="C346" s="53" t="s">
        <v>25</v>
      </c>
      <c r="D346" s="55" t="s">
        <v>26</v>
      </c>
      <c r="E346" s="53"/>
      <c r="F346" s="635" t="s">
        <v>1319</v>
      </c>
      <c r="G346" s="57" t="s">
        <v>78</v>
      </c>
      <c r="H346" s="58">
        <v>36000</v>
      </c>
      <c r="I346" s="59"/>
      <c r="J346" s="60" t="s">
        <v>4106</v>
      </c>
      <c r="K346" s="61"/>
      <c r="L346" s="62"/>
      <c r="M346" s="64"/>
      <c r="N346" s="65"/>
      <c r="O346" s="65"/>
      <c r="P346" s="65"/>
      <c r="Q346" s="65"/>
      <c r="R346" s="65"/>
      <c r="S346" s="65"/>
      <c r="T346" s="67"/>
      <c r="U346" s="67"/>
      <c r="V346" s="68" t="s">
        <v>4107</v>
      </c>
      <c r="W346" s="69" t="e">
        <v>#REF!</v>
      </c>
      <c r="X346" s="70"/>
      <c r="Y346" s="70"/>
      <c r="Z346" s="70"/>
      <c r="AA346" s="429"/>
      <c r="AB346" s="429"/>
      <c r="AC346" s="429"/>
      <c r="AD346" s="429"/>
      <c r="AE346" s="429"/>
      <c r="AF346" s="429"/>
      <c r="AG346" s="429"/>
      <c r="AH346" s="429"/>
      <c r="AI346" s="429"/>
      <c r="AJ346" s="429"/>
      <c r="AK346" s="429"/>
      <c r="AL346" s="429"/>
      <c r="AM346" s="429"/>
    </row>
    <row r="347" spans="1:39">
      <c r="A347" s="50"/>
      <c r="B347" s="52" t="s">
        <v>246</v>
      </c>
      <c r="C347" s="53" t="s">
        <v>25</v>
      </c>
      <c r="D347" s="55" t="s">
        <v>26</v>
      </c>
      <c r="E347" s="53"/>
      <c r="F347" s="635" t="s">
        <v>1114</v>
      </c>
      <c r="G347" s="57" t="s">
        <v>78</v>
      </c>
      <c r="H347" s="58">
        <v>40200</v>
      </c>
      <c r="I347" s="59"/>
      <c r="J347" s="60" t="s">
        <v>4106</v>
      </c>
      <c r="K347" s="61"/>
      <c r="L347" s="62"/>
      <c r="M347" s="64"/>
      <c r="N347" s="65"/>
      <c r="O347" s="65"/>
      <c r="P347" s="65"/>
      <c r="Q347" s="65"/>
      <c r="R347" s="65"/>
      <c r="S347" s="65"/>
      <c r="T347" s="67"/>
      <c r="U347" s="67"/>
      <c r="V347" s="68" t="s">
        <v>4107</v>
      </c>
      <c r="W347" s="69" t="e">
        <v>#REF!</v>
      </c>
      <c r="X347" s="70"/>
      <c r="Y347" s="70"/>
      <c r="Z347" s="70"/>
      <c r="AA347" s="429"/>
      <c r="AB347" s="429"/>
      <c r="AC347" s="429"/>
      <c r="AD347" s="429"/>
      <c r="AE347" s="429"/>
      <c r="AF347" s="429"/>
      <c r="AG347" s="429"/>
      <c r="AH347" s="429"/>
      <c r="AI347" s="429"/>
      <c r="AJ347" s="429"/>
      <c r="AK347" s="429"/>
      <c r="AL347" s="429"/>
      <c r="AM347" s="429"/>
    </row>
    <row r="348" spans="1:39">
      <c r="A348" s="50"/>
      <c r="B348" s="52" t="s">
        <v>249</v>
      </c>
      <c r="C348" s="53" t="s">
        <v>25</v>
      </c>
      <c r="D348" s="55" t="s">
        <v>26</v>
      </c>
      <c r="E348" s="53"/>
      <c r="F348" s="635" t="s">
        <v>4142</v>
      </c>
      <c r="G348" s="57" t="s">
        <v>78</v>
      </c>
      <c r="H348" s="58">
        <v>42300</v>
      </c>
      <c r="I348" s="59"/>
      <c r="J348" s="60" t="s">
        <v>4106</v>
      </c>
      <c r="K348" s="61"/>
      <c r="L348" s="62"/>
      <c r="M348" s="64"/>
      <c r="N348" s="65"/>
      <c r="O348" s="65"/>
      <c r="P348" s="65"/>
      <c r="Q348" s="65"/>
      <c r="R348" s="65"/>
      <c r="S348" s="65"/>
      <c r="T348" s="67"/>
      <c r="U348" s="67"/>
      <c r="V348" s="68" t="s">
        <v>4107</v>
      </c>
      <c r="W348" s="69" t="e">
        <v>#REF!</v>
      </c>
      <c r="X348" s="70"/>
      <c r="Y348" s="70"/>
      <c r="Z348" s="70"/>
      <c r="AA348" s="429"/>
      <c r="AB348" s="429"/>
      <c r="AC348" s="429"/>
      <c r="AD348" s="429"/>
      <c r="AE348" s="429"/>
      <c r="AF348" s="429"/>
      <c r="AG348" s="429"/>
      <c r="AH348" s="429"/>
      <c r="AI348" s="429"/>
      <c r="AJ348" s="429"/>
      <c r="AK348" s="429"/>
      <c r="AL348" s="429"/>
      <c r="AM348" s="429"/>
    </row>
    <row r="349" spans="1:39">
      <c r="A349" s="50"/>
      <c r="B349" s="52" t="s">
        <v>103</v>
      </c>
      <c r="C349" s="53" t="s">
        <v>25</v>
      </c>
      <c r="D349" s="55" t="s">
        <v>26</v>
      </c>
      <c r="E349" s="53"/>
      <c r="F349" s="635" t="s">
        <v>1117</v>
      </c>
      <c r="G349" s="57" t="s">
        <v>78</v>
      </c>
      <c r="H349" s="58">
        <v>47000</v>
      </c>
      <c r="I349" s="59"/>
      <c r="J349" s="60" t="s">
        <v>4106</v>
      </c>
      <c r="K349" s="61"/>
      <c r="L349" s="62"/>
      <c r="M349" s="64"/>
      <c r="N349" s="65"/>
      <c r="O349" s="65"/>
      <c r="P349" s="65"/>
      <c r="Q349" s="65"/>
      <c r="R349" s="65"/>
      <c r="S349" s="65"/>
      <c r="T349" s="67"/>
      <c r="U349" s="67"/>
      <c r="V349" s="68" t="s">
        <v>4107</v>
      </c>
      <c r="W349" s="69" t="e">
        <v>#REF!</v>
      </c>
      <c r="X349" s="70"/>
      <c r="Y349" s="70"/>
      <c r="Z349" s="70"/>
      <c r="AA349" s="429"/>
      <c r="AB349" s="429"/>
      <c r="AC349" s="429"/>
      <c r="AD349" s="429"/>
      <c r="AE349" s="429"/>
      <c r="AF349" s="429"/>
      <c r="AG349" s="429"/>
      <c r="AH349" s="429"/>
      <c r="AI349" s="429"/>
      <c r="AJ349" s="429"/>
      <c r="AK349" s="429"/>
      <c r="AL349" s="429"/>
      <c r="AM349" s="429"/>
    </row>
    <row r="350" spans="1:39">
      <c r="A350" s="50"/>
      <c r="B350" s="52" t="s">
        <v>107</v>
      </c>
      <c r="C350" s="53" t="s">
        <v>25</v>
      </c>
      <c r="D350" s="55" t="s">
        <v>26</v>
      </c>
      <c r="E350" s="53"/>
      <c r="F350" s="635" t="s">
        <v>4116</v>
      </c>
      <c r="G350" s="57" t="s">
        <v>78</v>
      </c>
      <c r="H350" s="58">
        <v>51200</v>
      </c>
      <c r="I350" s="59"/>
      <c r="J350" s="60" t="s">
        <v>4106</v>
      </c>
      <c r="K350" s="61"/>
      <c r="L350" s="62"/>
      <c r="M350" s="64"/>
      <c r="N350" s="65"/>
      <c r="O350" s="65"/>
      <c r="P350" s="65"/>
      <c r="Q350" s="65"/>
      <c r="R350" s="65"/>
      <c r="S350" s="65"/>
      <c r="T350" s="67"/>
      <c r="U350" s="67"/>
      <c r="V350" s="68" t="s">
        <v>4107</v>
      </c>
      <c r="W350" s="69" t="e">
        <v>#REF!</v>
      </c>
      <c r="X350" s="70"/>
      <c r="Y350" s="70"/>
      <c r="Z350" s="70"/>
      <c r="AA350" s="429"/>
      <c r="AB350" s="429"/>
      <c r="AC350" s="429"/>
      <c r="AD350" s="429"/>
      <c r="AE350" s="429"/>
      <c r="AF350" s="429"/>
      <c r="AG350" s="429"/>
      <c r="AH350" s="429"/>
      <c r="AI350" s="429"/>
      <c r="AJ350" s="429"/>
      <c r="AK350" s="429"/>
      <c r="AL350" s="429"/>
      <c r="AM350" s="429"/>
    </row>
    <row r="351" spans="1:39">
      <c r="A351" s="50"/>
      <c r="B351" s="52" t="s">
        <v>97</v>
      </c>
      <c r="C351" s="53" t="s">
        <v>25</v>
      </c>
      <c r="D351" s="55" t="s">
        <v>26</v>
      </c>
      <c r="E351" s="53"/>
      <c r="F351" s="635" t="s">
        <v>691</v>
      </c>
      <c r="G351" s="57" t="s">
        <v>78</v>
      </c>
      <c r="H351" s="58">
        <v>53300</v>
      </c>
      <c r="I351" s="59"/>
      <c r="J351" s="60" t="s">
        <v>4106</v>
      </c>
      <c r="K351" s="61"/>
      <c r="L351" s="62"/>
      <c r="M351" s="64"/>
      <c r="N351" s="65"/>
      <c r="O351" s="65"/>
      <c r="P351" s="65"/>
      <c r="Q351" s="65"/>
      <c r="R351" s="65"/>
      <c r="S351" s="65"/>
      <c r="T351" s="67"/>
      <c r="U351" s="67"/>
      <c r="V351" s="68" t="s">
        <v>4107</v>
      </c>
      <c r="W351" s="69" t="e">
        <v>#REF!</v>
      </c>
      <c r="X351" s="70"/>
      <c r="Y351" s="70"/>
      <c r="Z351" s="70"/>
      <c r="AA351" s="429"/>
      <c r="AB351" s="429"/>
      <c r="AC351" s="429"/>
      <c r="AD351" s="429"/>
      <c r="AE351" s="429"/>
      <c r="AF351" s="429"/>
      <c r="AG351" s="429"/>
      <c r="AH351" s="429"/>
      <c r="AI351" s="429"/>
      <c r="AJ351" s="429"/>
      <c r="AK351" s="429"/>
      <c r="AL351" s="429"/>
      <c r="AM351" s="429"/>
    </row>
    <row r="352" spans="1:39">
      <c r="A352" s="50"/>
      <c r="B352" s="52" t="s">
        <v>101</v>
      </c>
      <c r="C352" s="53" t="s">
        <v>25</v>
      </c>
      <c r="D352" s="55" t="s">
        <v>26</v>
      </c>
      <c r="E352" s="53"/>
      <c r="F352" s="635" t="s">
        <v>701</v>
      </c>
      <c r="G352" s="57" t="s">
        <v>78</v>
      </c>
      <c r="H352" s="58">
        <v>57000</v>
      </c>
      <c r="I352" s="59"/>
      <c r="J352" s="60" t="s">
        <v>4106</v>
      </c>
      <c r="K352" s="61"/>
      <c r="L352" s="62"/>
      <c r="M352" s="64"/>
      <c r="N352" s="65"/>
      <c r="O352" s="65"/>
      <c r="P352" s="65"/>
      <c r="Q352" s="65"/>
      <c r="R352" s="65"/>
      <c r="S352" s="65"/>
      <c r="T352" s="67"/>
      <c r="U352" s="67"/>
      <c r="V352" s="68" t="s">
        <v>4107</v>
      </c>
      <c r="W352" s="69" t="e">
        <v>#REF!</v>
      </c>
      <c r="X352" s="70"/>
      <c r="Y352" s="70"/>
      <c r="Z352" s="70"/>
      <c r="AA352" s="429"/>
      <c r="AB352" s="429"/>
      <c r="AC352" s="429"/>
      <c r="AD352" s="429"/>
      <c r="AE352" s="429"/>
      <c r="AF352" s="429"/>
      <c r="AG352" s="429"/>
      <c r="AH352" s="429"/>
      <c r="AI352" s="429"/>
      <c r="AJ352" s="429"/>
      <c r="AK352" s="429"/>
      <c r="AL352" s="429"/>
      <c r="AM352" s="429"/>
    </row>
    <row r="353" spans="1:39">
      <c r="A353" s="50"/>
      <c r="B353" s="52" t="s">
        <v>91</v>
      </c>
      <c r="C353" s="53" t="s">
        <v>25</v>
      </c>
      <c r="D353" s="55" t="s">
        <v>26</v>
      </c>
      <c r="E353" s="53"/>
      <c r="F353" s="635" t="s">
        <v>1321</v>
      </c>
      <c r="G353" s="57" t="s">
        <v>78</v>
      </c>
      <c r="H353" s="58">
        <v>30100</v>
      </c>
      <c r="I353" s="59"/>
      <c r="J353" s="60" t="s">
        <v>4106</v>
      </c>
      <c r="K353" s="61"/>
      <c r="L353" s="62"/>
      <c r="M353" s="64"/>
      <c r="N353" s="65"/>
      <c r="O353" s="65"/>
      <c r="P353" s="65"/>
      <c r="Q353" s="65"/>
      <c r="R353" s="65"/>
      <c r="S353" s="65"/>
      <c r="T353" s="67"/>
      <c r="U353" s="67"/>
      <c r="V353" s="68" t="s">
        <v>4107</v>
      </c>
      <c r="W353" s="69" t="e">
        <v>#REF!</v>
      </c>
      <c r="X353" s="70"/>
      <c r="Y353" s="70"/>
      <c r="Z353" s="70"/>
      <c r="AA353" s="429"/>
      <c r="AB353" s="429"/>
      <c r="AC353" s="429"/>
      <c r="AD353" s="429"/>
      <c r="AE353" s="429"/>
      <c r="AF353" s="429"/>
      <c r="AG353" s="429"/>
      <c r="AH353" s="429"/>
      <c r="AI353" s="429"/>
      <c r="AJ353" s="429"/>
      <c r="AK353" s="429"/>
      <c r="AL353" s="429"/>
      <c r="AM353" s="429"/>
    </row>
    <row r="354" spans="1:39">
      <c r="A354" s="50"/>
      <c r="B354" s="52" t="s">
        <v>93</v>
      </c>
      <c r="C354" s="53" t="s">
        <v>25</v>
      </c>
      <c r="D354" s="55" t="s">
        <v>26</v>
      </c>
      <c r="E354" s="53"/>
      <c r="F354" s="635" t="s">
        <v>1322</v>
      </c>
      <c r="G354" s="57" t="s">
        <v>78</v>
      </c>
      <c r="H354" s="58">
        <v>34800</v>
      </c>
      <c r="I354" s="59"/>
      <c r="J354" s="60" t="s">
        <v>4106</v>
      </c>
      <c r="K354" s="61"/>
      <c r="L354" s="62"/>
      <c r="M354" s="64"/>
      <c r="N354" s="65"/>
      <c r="O354" s="65"/>
      <c r="P354" s="65"/>
      <c r="Q354" s="65"/>
      <c r="R354" s="65"/>
      <c r="S354" s="65"/>
      <c r="T354" s="67"/>
      <c r="U354" s="67"/>
      <c r="V354" s="68" t="s">
        <v>4107</v>
      </c>
      <c r="W354" s="69" t="e">
        <v>#REF!</v>
      </c>
      <c r="X354" s="70"/>
      <c r="Y354" s="70"/>
      <c r="Z354" s="70"/>
      <c r="AA354" s="429"/>
      <c r="AB354" s="429"/>
      <c r="AC354" s="429"/>
      <c r="AD354" s="429"/>
      <c r="AE354" s="429"/>
      <c r="AF354" s="429"/>
      <c r="AG354" s="429"/>
      <c r="AH354" s="429"/>
      <c r="AI354" s="429"/>
      <c r="AJ354" s="429"/>
      <c r="AK354" s="429"/>
      <c r="AL354" s="429"/>
      <c r="AM354" s="429"/>
    </row>
    <row r="355" spans="1:39">
      <c r="A355" s="50"/>
      <c r="B355" s="52" t="s">
        <v>1323</v>
      </c>
      <c r="C355" s="53" t="s">
        <v>25</v>
      </c>
      <c r="D355" s="55" t="s">
        <v>26</v>
      </c>
      <c r="E355" s="53"/>
      <c r="F355" s="635" t="s">
        <v>1324</v>
      </c>
      <c r="G355" s="57" t="s">
        <v>78</v>
      </c>
      <c r="H355" s="58">
        <v>41500</v>
      </c>
      <c r="I355" s="59"/>
      <c r="J355" s="60" t="s">
        <v>4106</v>
      </c>
      <c r="K355" s="61"/>
      <c r="L355" s="62"/>
      <c r="M355" s="64"/>
      <c r="N355" s="65"/>
      <c r="O355" s="65"/>
      <c r="P355" s="65"/>
      <c r="Q355" s="65"/>
      <c r="R355" s="65"/>
      <c r="S355" s="65"/>
      <c r="T355" s="67"/>
      <c r="U355" s="67"/>
      <c r="V355" s="68" t="s">
        <v>4107</v>
      </c>
      <c r="W355" s="69" t="e">
        <v>#REF!</v>
      </c>
      <c r="X355" s="70"/>
      <c r="Y355" s="70"/>
      <c r="Z355" s="70"/>
      <c r="AA355" s="429"/>
      <c r="AB355" s="429"/>
      <c r="AC355" s="429"/>
      <c r="AD355" s="429"/>
      <c r="AE355" s="429"/>
      <c r="AF355" s="429"/>
      <c r="AG355" s="429"/>
      <c r="AH355" s="429"/>
      <c r="AI355" s="429"/>
      <c r="AJ355" s="429"/>
      <c r="AK355" s="429"/>
      <c r="AL355" s="429"/>
      <c r="AM355" s="429"/>
    </row>
    <row r="356" spans="1:39">
      <c r="A356" s="50"/>
      <c r="B356" s="52" t="s">
        <v>1325</v>
      </c>
      <c r="C356" s="53" t="s">
        <v>25</v>
      </c>
      <c r="D356" s="55" t="s">
        <v>26</v>
      </c>
      <c r="E356" s="53"/>
      <c r="F356" s="635" t="s">
        <v>1326</v>
      </c>
      <c r="G356" s="57" t="s">
        <v>78</v>
      </c>
      <c r="H356" s="58">
        <v>43400</v>
      </c>
      <c r="I356" s="59"/>
      <c r="J356" s="60" t="s">
        <v>4106</v>
      </c>
      <c r="K356" s="61"/>
      <c r="L356" s="62"/>
      <c r="M356" s="64"/>
      <c r="N356" s="65"/>
      <c r="O356" s="65"/>
      <c r="P356" s="65"/>
      <c r="Q356" s="65"/>
      <c r="R356" s="65"/>
      <c r="S356" s="65"/>
      <c r="T356" s="67"/>
      <c r="U356" s="67"/>
      <c r="V356" s="68" t="s">
        <v>4107</v>
      </c>
      <c r="W356" s="69" t="e">
        <v>#REF!</v>
      </c>
      <c r="X356" s="70"/>
      <c r="Y356" s="70"/>
      <c r="Z356" s="70"/>
      <c r="AA356" s="429"/>
      <c r="AB356" s="429"/>
      <c r="AC356" s="429"/>
      <c r="AD356" s="429"/>
      <c r="AE356" s="429"/>
      <c r="AF356" s="429"/>
      <c r="AG356" s="429"/>
      <c r="AH356" s="429"/>
      <c r="AI356" s="429"/>
      <c r="AJ356" s="429"/>
      <c r="AK356" s="429"/>
      <c r="AL356" s="429"/>
      <c r="AM356" s="429"/>
    </row>
    <row r="357" spans="1:39">
      <c r="A357" s="50"/>
      <c r="B357" s="52" t="s">
        <v>1327</v>
      </c>
      <c r="C357" s="53" t="s">
        <v>25</v>
      </c>
      <c r="D357" s="55" t="s">
        <v>26</v>
      </c>
      <c r="E357" s="53"/>
      <c r="F357" s="635" t="s">
        <v>1328</v>
      </c>
      <c r="G357" s="57" t="s">
        <v>78</v>
      </c>
      <c r="H357" s="58">
        <v>48100</v>
      </c>
      <c r="I357" s="59"/>
      <c r="J357" s="60" t="s">
        <v>4106</v>
      </c>
      <c r="K357" s="61"/>
      <c r="L357" s="62"/>
      <c r="M357" s="64"/>
      <c r="N357" s="65"/>
      <c r="O357" s="65"/>
      <c r="P357" s="65"/>
      <c r="Q357" s="65"/>
      <c r="R357" s="65"/>
      <c r="S357" s="65"/>
      <c r="T357" s="67"/>
      <c r="U357" s="67"/>
      <c r="V357" s="68" t="s">
        <v>4107</v>
      </c>
      <c r="W357" s="69" t="e">
        <v>#REF!</v>
      </c>
      <c r="X357" s="70"/>
      <c r="Y357" s="70"/>
      <c r="Z357" s="70"/>
      <c r="AA357" s="429"/>
      <c r="AB357" s="429"/>
      <c r="AC357" s="429"/>
      <c r="AD357" s="429"/>
      <c r="AE357" s="429"/>
      <c r="AF357" s="429"/>
      <c r="AG357" s="429"/>
      <c r="AH357" s="429"/>
      <c r="AI357" s="429"/>
      <c r="AJ357" s="429"/>
      <c r="AK357" s="429"/>
      <c r="AL357" s="429"/>
      <c r="AM357" s="429"/>
    </row>
    <row r="358" spans="1:39">
      <c r="A358" s="50"/>
      <c r="B358" s="52" t="s">
        <v>1329</v>
      </c>
      <c r="C358" s="53" t="s">
        <v>25</v>
      </c>
      <c r="D358" s="55" t="s">
        <v>26</v>
      </c>
      <c r="E358" s="53"/>
      <c r="F358" s="635" t="s">
        <v>1330</v>
      </c>
      <c r="G358" s="57" t="s">
        <v>78</v>
      </c>
      <c r="H358" s="58">
        <v>55400</v>
      </c>
      <c r="I358" s="59"/>
      <c r="J358" s="60" t="s">
        <v>4106</v>
      </c>
      <c r="K358" s="61"/>
      <c r="L358" s="62"/>
      <c r="M358" s="64"/>
      <c r="N358" s="65"/>
      <c r="O358" s="65"/>
      <c r="P358" s="65"/>
      <c r="Q358" s="65"/>
      <c r="R358" s="65"/>
      <c r="S358" s="65"/>
      <c r="T358" s="67"/>
      <c r="U358" s="67"/>
      <c r="V358" s="68" t="s">
        <v>4107</v>
      </c>
      <c r="W358" s="69" t="e">
        <v>#REF!</v>
      </c>
      <c r="X358" s="70"/>
      <c r="Y358" s="70"/>
      <c r="Z358" s="70"/>
      <c r="AA358" s="429"/>
      <c r="AB358" s="429"/>
      <c r="AC358" s="429"/>
      <c r="AD358" s="429"/>
      <c r="AE358" s="429"/>
      <c r="AF358" s="429"/>
      <c r="AG358" s="429"/>
      <c r="AH358" s="429"/>
      <c r="AI358" s="429"/>
      <c r="AJ358" s="429"/>
      <c r="AK358" s="429"/>
      <c r="AL358" s="429"/>
      <c r="AM358" s="429"/>
    </row>
    <row r="359" spans="1:39">
      <c r="A359" s="50"/>
      <c r="B359" s="52" t="s">
        <v>1331</v>
      </c>
      <c r="C359" s="53" t="s">
        <v>25</v>
      </c>
      <c r="D359" s="55" t="s">
        <v>26</v>
      </c>
      <c r="E359" s="53"/>
      <c r="F359" s="635" t="s">
        <v>1332</v>
      </c>
      <c r="G359" s="57" t="s">
        <v>78</v>
      </c>
      <c r="H359" s="58">
        <v>62700</v>
      </c>
      <c r="I359" s="59"/>
      <c r="J359" s="60" t="s">
        <v>4106</v>
      </c>
      <c r="K359" s="61"/>
      <c r="L359" s="62"/>
      <c r="M359" s="64"/>
      <c r="N359" s="65"/>
      <c r="O359" s="65"/>
      <c r="P359" s="65"/>
      <c r="Q359" s="65"/>
      <c r="R359" s="65"/>
      <c r="S359" s="65"/>
      <c r="T359" s="67"/>
      <c r="U359" s="67"/>
      <c r="V359" s="68" t="s">
        <v>4107</v>
      </c>
      <c r="W359" s="69" t="e">
        <v>#REF!</v>
      </c>
      <c r="X359" s="70"/>
      <c r="Y359" s="70"/>
      <c r="Z359" s="70"/>
      <c r="AA359" s="429"/>
      <c r="AB359" s="429"/>
      <c r="AC359" s="429"/>
      <c r="AD359" s="429"/>
      <c r="AE359" s="429"/>
      <c r="AF359" s="429"/>
      <c r="AG359" s="429"/>
      <c r="AH359" s="429"/>
      <c r="AI359" s="429"/>
      <c r="AJ359" s="429"/>
      <c r="AK359" s="429"/>
      <c r="AL359" s="429"/>
      <c r="AM359" s="429"/>
    </row>
    <row r="360" spans="1:39">
      <c r="A360" s="50"/>
      <c r="B360" s="52" t="s">
        <v>1333</v>
      </c>
      <c r="C360" s="53" t="s">
        <v>25</v>
      </c>
      <c r="D360" s="55" t="s">
        <v>26</v>
      </c>
      <c r="E360" s="53"/>
      <c r="F360" s="635" t="s">
        <v>1334</v>
      </c>
      <c r="G360" s="57" t="s">
        <v>78</v>
      </c>
      <c r="H360" s="58">
        <v>71000</v>
      </c>
      <c r="I360" s="59"/>
      <c r="J360" s="60" t="s">
        <v>4106</v>
      </c>
      <c r="K360" s="61"/>
      <c r="L360" s="62"/>
      <c r="M360" s="64"/>
      <c r="N360" s="65"/>
      <c r="O360" s="65"/>
      <c r="P360" s="65"/>
      <c r="Q360" s="65"/>
      <c r="R360" s="65"/>
      <c r="S360" s="65"/>
      <c r="T360" s="67"/>
      <c r="U360" s="67"/>
      <c r="V360" s="68" t="s">
        <v>4107</v>
      </c>
      <c r="W360" s="69" t="e">
        <v>#REF!</v>
      </c>
      <c r="X360" s="70"/>
      <c r="Y360" s="70"/>
      <c r="Z360" s="70"/>
      <c r="AA360" s="429"/>
      <c r="AB360" s="429"/>
      <c r="AC360" s="429"/>
      <c r="AD360" s="429"/>
      <c r="AE360" s="429"/>
      <c r="AF360" s="429"/>
      <c r="AG360" s="429"/>
      <c r="AH360" s="429"/>
      <c r="AI360" s="429"/>
      <c r="AJ360" s="429"/>
      <c r="AK360" s="429"/>
      <c r="AL360" s="429"/>
      <c r="AM360" s="429"/>
    </row>
    <row r="361" spans="1:39">
      <c r="A361" s="50"/>
      <c r="B361" s="52" t="s">
        <v>1335</v>
      </c>
      <c r="C361" s="53" t="s">
        <v>25</v>
      </c>
      <c r="D361" s="55" t="s">
        <v>26</v>
      </c>
      <c r="E361" s="53"/>
      <c r="F361" s="635" t="s">
        <v>4147</v>
      </c>
      <c r="G361" s="57" t="s">
        <v>78</v>
      </c>
      <c r="H361" s="58">
        <v>17000</v>
      </c>
      <c r="I361" s="59"/>
      <c r="J361" s="60" t="s">
        <v>4106</v>
      </c>
      <c r="K361" s="61"/>
      <c r="L361" s="62"/>
      <c r="M361" s="64"/>
      <c r="N361" s="65"/>
      <c r="O361" s="65"/>
      <c r="P361" s="65"/>
      <c r="Q361" s="65"/>
      <c r="R361" s="65"/>
      <c r="S361" s="65"/>
      <c r="T361" s="67"/>
      <c r="U361" s="67"/>
      <c r="V361" s="68" t="s">
        <v>4107</v>
      </c>
      <c r="W361" s="69" t="e">
        <v>#REF!</v>
      </c>
      <c r="X361" s="70"/>
      <c r="Y361" s="70"/>
      <c r="Z361" s="70"/>
      <c r="AA361" s="429"/>
      <c r="AB361" s="429"/>
      <c r="AC361" s="429"/>
      <c r="AD361" s="429"/>
      <c r="AE361" s="429"/>
      <c r="AF361" s="429"/>
      <c r="AG361" s="429"/>
      <c r="AH361" s="429"/>
      <c r="AI361" s="429"/>
      <c r="AJ361" s="429"/>
      <c r="AK361" s="429"/>
      <c r="AL361" s="429"/>
      <c r="AM361" s="429"/>
    </row>
    <row r="362" spans="1:39">
      <c r="A362" s="50"/>
      <c r="B362" s="52" t="s">
        <v>1336</v>
      </c>
      <c r="C362" s="53" t="s">
        <v>25</v>
      </c>
      <c r="D362" s="55" t="s">
        <v>26</v>
      </c>
      <c r="E362" s="53"/>
      <c r="F362" s="635" t="s">
        <v>4148</v>
      </c>
      <c r="G362" s="57" t="s">
        <v>78</v>
      </c>
      <c r="H362" s="58">
        <v>21000</v>
      </c>
      <c r="I362" s="59"/>
      <c r="J362" s="60" t="s">
        <v>4106</v>
      </c>
      <c r="K362" s="61"/>
      <c r="L362" s="62"/>
      <c r="M362" s="64"/>
      <c r="N362" s="65"/>
      <c r="O362" s="65"/>
      <c r="P362" s="65"/>
      <c r="Q362" s="65"/>
      <c r="R362" s="65"/>
      <c r="S362" s="65"/>
      <c r="T362" s="67"/>
      <c r="U362" s="67"/>
      <c r="V362" s="68" t="s">
        <v>4107</v>
      </c>
      <c r="W362" s="69" t="e">
        <v>#REF!</v>
      </c>
      <c r="X362" s="70"/>
      <c r="Y362" s="70"/>
      <c r="Z362" s="70"/>
      <c r="AA362" s="429"/>
      <c r="AB362" s="429"/>
      <c r="AC362" s="429"/>
      <c r="AD362" s="429"/>
      <c r="AE362" s="429"/>
      <c r="AF362" s="429"/>
      <c r="AG362" s="429"/>
      <c r="AH362" s="429"/>
      <c r="AI362" s="429"/>
      <c r="AJ362" s="429"/>
      <c r="AK362" s="429"/>
      <c r="AL362" s="429"/>
      <c r="AM362" s="429"/>
    </row>
    <row r="363" spans="1:39">
      <c r="A363" s="50"/>
      <c r="B363" s="52" t="s">
        <v>1337</v>
      </c>
      <c r="C363" s="53" t="s">
        <v>25</v>
      </c>
      <c r="D363" s="55" t="s">
        <v>26</v>
      </c>
      <c r="E363" s="53"/>
      <c r="F363" s="635" t="s">
        <v>4149</v>
      </c>
      <c r="G363" s="57" t="s">
        <v>78</v>
      </c>
      <c r="H363" s="58">
        <v>20000</v>
      </c>
      <c r="I363" s="59"/>
      <c r="J363" s="60" t="s">
        <v>4106</v>
      </c>
      <c r="K363" s="61"/>
      <c r="L363" s="62"/>
      <c r="M363" s="64"/>
      <c r="N363" s="65"/>
      <c r="O363" s="65"/>
      <c r="P363" s="65"/>
      <c r="Q363" s="65"/>
      <c r="R363" s="65"/>
      <c r="S363" s="65"/>
      <c r="T363" s="67"/>
      <c r="U363" s="67"/>
      <c r="V363" s="68" t="s">
        <v>4107</v>
      </c>
      <c r="W363" s="69" t="e">
        <v>#REF!</v>
      </c>
      <c r="X363" s="70"/>
      <c r="Y363" s="70"/>
      <c r="Z363" s="70"/>
      <c r="AA363" s="429"/>
      <c r="AB363" s="429"/>
      <c r="AC363" s="429"/>
      <c r="AD363" s="429"/>
      <c r="AE363" s="429"/>
      <c r="AF363" s="429"/>
      <c r="AG363" s="429"/>
      <c r="AH363" s="429"/>
      <c r="AI363" s="429"/>
      <c r="AJ363" s="429"/>
      <c r="AK363" s="429"/>
      <c r="AL363" s="429"/>
      <c r="AM363" s="429"/>
    </row>
    <row r="364" spans="1:39">
      <c r="A364" s="50"/>
      <c r="B364" s="52" t="s">
        <v>423</v>
      </c>
      <c r="C364" s="53" t="s">
        <v>25</v>
      </c>
      <c r="D364" s="55" t="s">
        <v>26</v>
      </c>
      <c r="E364" s="53"/>
      <c r="F364" s="635" t="s">
        <v>4150</v>
      </c>
      <c r="G364" s="57" t="s">
        <v>78</v>
      </c>
      <c r="H364" s="58">
        <v>28000</v>
      </c>
      <c r="I364" s="59"/>
      <c r="J364" s="60" t="s">
        <v>4106</v>
      </c>
      <c r="K364" s="61"/>
      <c r="L364" s="62"/>
      <c r="M364" s="64"/>
      <c r="N364" s="65"/>
      <c r="O364" s="65"/>
      <c r="P364" s="65"/>
      <c r="Q364" s="65"/>
      <c r="R364" s="65"/>
      <c r="S364" s="65"/>
      <c r="T364" s="67"/>
      <c r="U364" s="67"/>
      <c r="V364" s="68" t="s">
        <v>4107</v>
      </c>
      <c r="W364" s="69" t="e">
        <v>#REF!</v>
      </c>
      <c r="X364" s="70"/>
      <c r="Y364" s="70"/>
      <c r="Z364" s="70"/>
      <c r="AA364" s="429"/>
      <c r="AB364" s="429"/>
      <c r="AC364" s="429"/>
      <c r="AD364" s="429"/>
      <c r="AE364" s="429"/>
      <c r="AF364" s="429"/>
      <c r="AG364" s="429"/>
      <c r="AH364" s="429"/>
      <c r="AI364" s="429"/>
      <c r="AJ364" s="429"/>
      <c r="AK364" s="429"/>
      <c r="AL364" s="429"/>
      <c r="AM364" s="429"/>
    </row>
    <row r="365" spans="1:39">
      <c r="A365" s="50"/>
      <c r="B365" s="52" t="s">
        <v>425</v>
      </c>
      <c r="C365" s="53" t="s">
        <v>25</v>
      </c>
      <c r="D365" s="55" t="s">
        <v>26</v>
      </c>
      <c r="E365" s="53"/>
      <c r="F365" s="635" t="s">
        <v>4151</v>
      </c>
      <c r="G365" s="57" t="s">
        <v>78</v>
      </c>
      <c r="H365" s="58">
        <v>24200</v>
      </c>
      <c r="I365" s="59"/>
      <c r="J365" s="60" t="s">
        <v>4106</v>
      </c>
      <c r="K365" s="61"/>
      <c r="L365" s="62"/>
      <c r="M365" s="64"/>
      <c r="N365" s="65"/>
      <c r="O365" s="65"/>
      <c r="P365" s="65"/>
      <c r="Q365" s="65"/>
      <c r="R365" s="65"/>
      <c r="S365" s="65"/>
      <c r="T365" s="67"/>
      <c r="U365" s="67"/>
      <c r="V365" s="68" t="s">
        <v>4107</v>
      </c>
      <c r="W365" s="69" t="e">
        <v>#REF!</v>
      </c>
      <c r="X365" s="70"/>
      <c r="Y365" s="70"/>
      <c r="Z365" s="70"/>
      <c r="AA365" s="429"/>
      <c r="AB365" s="429"/>
      <c r="AC365" s="429"/>
      <c r="AD365" s="429"/>
      <c r="AE365" s="429"/>
      <c r="AF365" s="429"/>
      <c r="AG365" s="429"/>
      <c r="AH365" s="429"/>
      <c r="AI365" s="429"/>
      <c r="AJ365" s="429"/>
      <c r="AK365" s="429"/>
      <c r="AL365" s="429"/>
      <c r="AM365" s="429"/>
    </row>
    <row r="366" spans="1:39">
      <c r="A366" s="50"/>
      <c r="B366" s="52" t="s">
        <v>419</v>
      </c>
      <c r="C366" s="53" t="s">
        <v>25</v>
      </c>
      <c r="D366" s="55" t="s">
        <v>26</v>
      </c>
      <c r="E366" s="53"/>
      <c r="F366" s="635" t="s">
        <v>4152</v>
      </c>
      <c r="G366" s="57" t="s">
        <v>78</v>
      </c>
      <c r="H366" s="58">
        <v>27400</v>
      </c>
      <c r="I366" s="59"/>
      <c r="J366" s="60" t="s">
        <v>4106</v>
      </c>
      <c r="K366" s="61"/>
      <c r="L366" s="62"/>
      <c r="M366" s="64"/>
      <c r="N366" s="65"/>
      <c r="O366" s="65"/>
      <c r="P366" s="65"/>
      <c r="Q366" s="65"/>
      <c r="R366" s="65"/>
      <c r="S366" s="65"/>
      <c r="T366" s="67"/>
      <c r="U366" s="67"/>
      <c r="V366" s="68" t="s">
        <v>4107</v>
      </c>
      <c r="W366" s="69" t="e">
        <v>#REF!</v>
      </c>
      <c r="X366" s="70"/>
      <c r="Y366" s="70"/>
      <c r="Z366" s="70"/>
      <c r="AA366" s="429"/>
      <c r="AB366" s="429"/>
      <c r="AC366" s="429"/>
      <c r="AD366" s="429"/>
      <c r="AE366" s="429"/>
      <c r="AF366" s="429"/>
      <c r="AG366" s="429"/>
      <c r="AH366" s="429"/>
      <c r="AI366" s="429"/>
      <c r="AJ366" s="429"/>
      <c r="AK366" s="429"/>
      <c r="AL366" s="429"/>
      <c r="AM366" s="429"/>
    </row>
    <row r="367" spans="1:39">
      <c r="A367" s="50"/>
      <c r="B367" s="52" t="s">
        <v>409</v>
      </c>
      <c r="C367" s="53" t="s">
        <v>25</v>
      </c>
      <c r="D367" s="55" t="s">
        <v>26</v>
      </c>
      <c r="E367" s="53"/>
      <c r="F367" s="635" t="s">
        <v>4153</v>
      </c>
      <c r="G367" s="57" t="s">
        <v>78</v>
      </c>
      <c r="H367" s="58">
        <v>29900</v>
      </c>
      <c r="I367" s="59"/>
      <c r="J367" s="60" t="s">
        <v>4106</v>
      </c>
      <c r="K367" s="61"/>
      <c r="L367" s="62"/>
      <c r="M367" s="64"/>
      <c r="N367" s="65"/>
      <c r="O367" s="65"/>
      <c r="P367" s="65"/>
      <c r="Q367" s="65"/>
      <c r="R367" s="65"/>
      <c r="S367" s="65"/>
      <c r="T367" s="67"/>
      <c r="U367" s="67"/>
      <c r="V367" s="68" t="s">
        <v>4107</v>
      </c>
      <c r="W367" s="69" t="e">
        <v>#REF!</v>
      </c>
      <c r="X367" s="70"/>
      <c r="Y367" s="70"/>
      <c r="Z367" s="70"/>
      <c r="AA367" s="429"/>
      <c r="AB367" s="429"/>
      <c r="AC367" s="429"/>
      <c r="AD367" s="429"/>
      <c r="AE367" s="429"/>
      <c r="AF367" s="429"/>
      <c r="AG367" s="429"/>
      <c r="AH367" s="429"/>
      <c r="AI367" s="429"/>
      <c r="AJ367" s="429"/>
      <c r="AK367" s="429"/>
      <c r="AL367" s="429"/>
      <c r="AM367" s="429"/>
    </row>
    <row r="368" spans="1:39">
      <c r="A368" s="50"/>
      <c r="B368" s="52" t="s">
        <v>415</v>
      </c>
      <c r="C368" s="53" t="s">
        <v>25</v>
      </c>
      <c r="D368" s="55" t="s">
        <v>26</v>
      </c>
      <c r="E368" s="53"/>
      <c r="F368" s="635" t="s">
        <v>4154</v>
      </c>
      <c r="G368" s="57" t="s">
        <v>78</v>
      </c>
      <c r="H368" s="58">
        <v>36400</v>
      </c>
      <c r="I368" s="59"/>
      <c r="J368" s="60" t="s">
        <v>4106</v>
      </c>
      <c r="K368" s="61"/>
      <c r="L368" s="62"/>
      <c r="M368" s="64"/>
      <c r="N368" s="65"/>
      <c r="O368" s="65"/>
      <c r="P368" s="65"/>
      <c r="Q368" s="65"/>
      <c r="R368" s="65"/>
      <c r="S368" s="65"/>
      <c r="T368" s="67"/>
      <c r="U368" s="67"/>
      <c r="V368" s="68" t="s">
        <v>4107</v>
      </c>
      <c r="W368" s="69" t="e">
        <v>#REF!</v>
      </c>
      <c r="X368" s="70"/>
      <c r="Y368" s="70"/>
      <c r="Z368" s="70"/>
      <c r="AA368" s="429"/>
      <c r="AB368" s="429"/>
      <c r="AC368" s="429"/>
      <c r="AD368" s="429"/>
      <c r="AE368" s="429"/>
      <c r="AF368" s="429"/>
      <c r="AG368" s="429"/>
      <c r="AH368" s="429"/>
      <c r="AI368" s="429"/>
      <c r="AJ368" s="429"/>
      <c r="AK368" s="429"/>
      <c r="AL368" s="429"/>
      <c r="AM368" s="429"/>
    </row>
    <row r="369" spans="1:39">
      <c r="A369" s="50"/>
      <c r="B369" s="52" t="s">
        <v>499</v>
      </c>
      <c r="C369" s="53" t="s">
        <v>25</v>
      </c>
      <c r="D369" s="55" t="s">
        <v>26</v>
      </c>
      <c r="E369" s="53"/>
      <c r="F369" s="635" t="s">
        <v>1342</v>
      </c>
      <c r="G369" s="57" t="s">
        <v>78</v>
      </c>
      <c r="H369" s="58">
        <v>58000</v>
      </c>
      <c r="I369" s="59"/>
      <c r="J369" s="60" t="s">
        <v>4106</v>
      </c>
      <c r="K369" s="61"/>
      <c r="L369" s="62"/>
      <c r="M369" s="64"/>
      <c r="N369" s="65"/>
      <c r="O369" s="65"/>
      <c r="P369" s="65"/>
      <c r="Q369" s="65"/>
      <c r="R369" s="65"/>
      <c r="S369" s="65"/>
      <c r="T369" s="67"/>
      <c r="U369" s="67"/>
      <c r="V369" s="68" t="s">
        <v>4107</v>
      </c>
      <c r="W369" s="69" t="e">
        <v>#REF!</v>
      </c>
      <c r="X369" s="70"/>
      <c r="Y369" s="70"/>
      <c r="Z369" s="70"/>
      <c r="AA369" s="429"/>
      <c r="AB369" s="429"/>
      <c r="AC369" s="429"/>
      <c r="AD369" s="429"/>
      <c r="AE369" s="429"/>
      <c r="AF369" s="429"/>
      <c r="AG369" s="429"/>
      <c r="AH369" s="429"/>
      <c r="AI369" s="429"/>
      <c r="AJ369" s="429"/>
      <c r="AK369" s="429"/>
      <c r="AL369" s="429"/>
      <c r="AM369" s="429"/>
    </row>
    <row r="370" spans="1:39">
      <c r="A370" s="50"/>
      <c r="B370" s="52" t="s">
        <v>495</v>
      </c>
      <c r="C370" s="53" t="s">
        <v>25</v>
      </c>
      <c r="D370" s="55" t="s">
        <v>26</v>
      </c>
      <c r="E370" s="53"/>
      <c r="F370" s="635" t="s">
        <v>1343</v>
      </c>
      <c r="G370" s="57" t="s">
        <v>78</v>
      </c>
      <c r="H370" s="58">
        <v>61000</v>
      </c>
      <c r="I370" s="59"/>
      <c r="J370" s="60" t="s">
        <v>4106</v>
      </c>
      <c r="K370" s="61"/>
      <c r="L370" s="62"/>
      <c r="M370" s="64"/>
      <c r="N370" s="65"/>
      <c r="O370" s="65"/>
      <c r="P370" s="65"/>
      <c r="Q370" s="65"/>
      <c r="R370" s="65"/>
      <c r="S370" s="65"/>
      <c r="T370" s="67"/>
      <c r="U370" s="67"/>
      <c r="V370" s="68" t="s">
        <v>4107</v>
      </c>
      <c r="W370" s="69" t="e">
        <v>#REF!</v>
      </c>
      <c r="X370" s="70"/>
      <c r="Y370" s="70"/>
      <c r="Z370" s="70"/>
      <c r="AA370" s="429"/>
      <c r="AB370" s="429"/>
      <c r="AC370" s="429"/>
      <c r="AD370" s="429"/>
      <c r="AE370" s="429"/>
      <c r="AF370" s="429"/>
      <c r="AG370" s="429"/>
      <c r="AH370" s="429"/>
      <c r="AI370" s="429"/>
      <c r="AJ370" s="429"/>
      <c r="AK370" s="429"/>
      <c r="AL370" s="429"/>
      <c r="AM370" s="429"/>
    </row>
    <row r="371" spans="1:39">
      <c r="A371" s="50"/>
      <c r="B371" s="52" t="s">
        <v>501</v>
      </c>
      <c r="C371" s="53" t="s">
        <v>25</v>
      </c>
      <c r="D371" s="55" t="s">
        <v>26</v>
      </c>
      <c r="E371" s="53"/>
      <c r="F371" s="635" t="s">
        <v>1344</v>
      </c>
      <c r="G371" s="57" t="s">
        <v>78</v>
      </c>
      <c r="H371" s="58">
        <v>12000</v>
      </c>
      <c r="I371" s="59"/>
      <c r="J371" s="60" t="s">
        <v>4106</v>
      </c>
      <c r="K371" s="61"/>
      <c r="L371" s="62"/>
      <c r="M371" s="64"/>
      <c r="N371" s="65"/>
      <c r="O371" s="65"/>
      <c r="P371" s="65"/>
      <c r="Q371" s="65"/>
      <c r="R371" s="65"/>
      <c r="S371" s="65"/>
      <c r="T371" s="67"/>
      <c r="U371" s="67"/>
      <c r="V371" s="68" t="s">
        <v>4107</v>
      </c>
      <c r="W371" s="69" t="e">
        <v>#REF!</v>
      </c>
      <c r="X371" s="70"/>
      <c r="Y371" s="70"/>
      <c r="Z371" s="70"/>
      <c r="AA371" s="429"/>
      <c r="AB371" s="429"/>
      <c r="AC371" s="429"/>
      <c r="AD371" s="429"/>
      <c r="AE371" s="429"/>
      <c r="AF371" s="429"/>
      <c r="AG371" s="429"/>
      <c r="AH371" s="429"/>
      <c r="AI371" s="429"/>
      <c r="AJ371" s="429"/>
      <c r="AK371" s="429"/>
      <c r="AL371" s="429"/>
      <c r="AM371" s="429"/>
    </row>
    <row r="372" spans="1:39">
      <c r="A372" s="50"/>
      <c r="B372" s="52" t="s">
        <v>509</v>
      </c>
      <c r="C372" s="53" t="s">
        <v>25</v>
      </c>
      <c r="D372" s="55" t="s">
        <v>26</v>
      </c>
      <c r="E372" s="53"/>
      <c r="F372" s="635" t="s">
        <v>1345</v>
      </c>
      <c r="G372" s="57" t="s">
        <v>78</v>
      </c>
      <c r="H372" s="58">
        <v>54300</v>
      </c>
      <c r="I372" s="59"/>
      <c r="J372" s="60" t="s">
        <v>4106</v>
      </c>
      <c r="K372" s="61"/>
      <c r="L372" s="62"/>
      <c r="M372" s="64"/>
      <c r="N372" s="65"/>
      <c r="O372" s="65"/>
      <c r="P372" s="65"/>
      <c r="Q372" s="65"/>
      <c r="R372" s="65"/>
      <c r="S372" s="65"/>
      <c r="T372" s="67"/>
      <c r="U372" s="67"/>
      <c r="V372" s="68" t="s">
        <v>4107</v>
      </c>
      <c r="W372" s="69" t="e">
        <v>#REF!</v>
      </c>
      <c r="X372" s="70"/>
      <c r="Y372" s="70"/>
      <c r="Z372" s="70"/>
      <c r="AA372" s="429"/>
      <c r="AB372" s="429"/>
      <c r="AC372" s="429"/>
      <c r="AD372" s="429"/>
      <c r="AE372" s="429"/>
      <c r="AF372" s="429"/>
      <c r="AG372" s="429"/>
      <c r="AH372" s="429"/>
      <c r="AI372" s="429"/>
      <c r="AJ372" s="429"/>
      <c r="AK372" s="429"/>
      <c r="AL372" s="429"/>
      <c r="AM372" s="429"/>
    </row>
    <row r="373" spans="1:39">
      <c r="A373" s="50"/>
      <c r="B373" s="52" t="s">
        <v>505</v>
      </c>
      <c r="C373" s="53" t="s">
        <v>25</v>
      </c>
      <c r="D373" s="55" t="s">
        <v>26</v>
      </c>
      <c r="E373" s="53"/>
      <c r="F373" s="635" t="s">
        <v>1346</v>
      </c>
      <c r="G373" s="57" t="s">
        <v>78</v>
      </c>
      <c r="H373" s="58">
        <v>52000</v>
      </c>
      <c r="I373" s="59"/>
      <c r="J373" s="60" t="s">
        <v>4106</v>
      </c>
      <c r="K373" s="61"/>
      <c r="L373" s="62"/>
      <c r="M373" s="64"/>
      <c r="N373" s="65"/>
      <c r="O373" s="65"/>
      <c r="P373" s="65"/>
      <c r="Q373" s="65"/>
      <c r="R373" s="65"/>
      <c r="S373" s="65"/>
      <c r="T373" s="67"/>
      <c r="U373" s="67"/>
      <c r="V373" s="68" t="s">
        <v>4107</v>
      </c>
      <c r="W373" s="69" t="e">
        <v>#REF!</v>
      </c>
      <c r="X373" s="70"/>
      <c r="Y373" s="70"/>
      <c r="Z373" s="70"/>
      <c r="AA373" s="429"/>
      <c r="AB373" s="429"/>
      <c r="AC373" s="429"/>
      <c r="AD373" s="429"/>
      <c r="AE373" s="429"/>
      <c r="AF373" s="429"/>
      <c r="AG373" s="429"/>
      <c r="AH373" s="429"/>
      <c r="AI373" s="429"/>
      <c r="AJ373" s="429"/>
      <c r="AK373" s="429"/>
      <c r="AL373" s="429"/>
      <c r="AM373" s="429"/>
    </row>
    <row r="374" spans="1:39">
      <c r="A374" s="50"/>
      <c r="B374" s="52" t="s">
        <v>639</v>
      </c>
      <c r="C374" s="53" t="s">
        <v>25</v>
      </c>
      <c r="D374" s="55" t="s">
        <v>26</v>
      </c>
      <c r="E374" s="53"/>
      <c r="F374" s="635" t="s">
        <v>1347</v>
      </c>
      <c r="G374" s="57" t="s">
        <v>78</v>
      </c>
      <c r="H374" s="58">
        <v>18000</v>
      </c>
      <c r="I374" s="59"/>
      <c r="J374" s="60" t="s">
        <v>4106</v>
      </c>
      <c r="K374" s="61"/>
      <c r="L374" s="62"/>
      <c r="M374" s="64"/>
      <c r="N374" s="65"/>
      <c r="O374" s="65"/>
      <c r="P374" s="65"/>
      <c r="Q374" s="65"/>
      <c r="R374" s="65"/>
      <c r="S374" s="65"/>
      <c r="T374" s="67"/>
      <c r="U374" s="67"/>
      <c r="V374" s="68" t="s">
        <v>4107</v>
      </c>
      <c r="W374" s="69" t="e">
        <v>#REF!</v>
      </c>
      <c r="X374" s="70"/>
      <c r="Y374" s="70"/>
      <c r="Z374" s="70"/>
      <c r="AA374" s="429"/>
      <c r="AB374" s="429"/>
      <c r="AC374" s="429"/>
      <c r="AD374" s="429"/>
      <c r="AE374" s="429"/>
      <c r="AF374" s="429"/>
      <c r="AG374" s="429"/>
      <c r="AH374" s="429"/>
      <c r="AI374" s="429"/>
      <c r="AJ374" s="429"/>
      <c r="AK374" s="429"/>
      <c r="AL374" s="429"/>
      <c r="AM374" s="429"/>
    </row>
    <row r="375" spans="1:39">
      <c r="A375" s="50"/>
      <c r="B375" s="52" t="s">
        <v>399</v>
      </c>
      <c r="C375" s="53" t="s">
        <v>25</v>
      </c>
      <c r="D375" s="55" t="s">
        <v>26</v>
      </c>
      <c r="E375" s="53"/>
      <c r="F375" s="635" t="s">
        <v>1348</v>
      </c>
      <c r="G375" s="57" t="s">
        <v>78</v>
      </c>
      <c r="H375" s="58">
        <v>19000</v>
      </c>
      <c r="I375" s="59"/>
      <c r="J375" s="60" t="s">
        <v>4106</v>
      </c>
      <c r="K375" s="61"/>
      <c r="L375" s="62"/>
      <c r="M375" s="64"/>
      <c r="N375" s="65"/>
      <c r="O375" s="65"/>
      <c r="P375" s="65"/>
      <c r="Q375" s="65"/>
      <c r="R375" s="65"/>
      <c r="S375" s="65"/>
      <c r="T375" s="67"/>
      <c r="U375" s="67"/>
      <c r="V375" s="68" t="s">
        <v>4107</v>
      </c>
      <c r="W375" s="69" t="e">
        <v>#REF!</v>
      </c>
      <c r="X375" s="70"/>
      <c r="Y375" s="70"/>
      <c r="Z375" s="70"/>
      <c r="AA375" s="429"/>
      <c r="AB375" s="429"/>
      <c r="AC375" s="429"/>
      <c r="AD375" s="429"/>
      <c r="AE375" s="429"/>
      <c r="AF375" s="429"/>
      <c r="AG375" s="429"/>
      <c r="AH375" s="429"/>
      <c r="AI375" s="429"/>
      <c r="AJ375" s="429"/>
      <c r="AK375" s="429"/>
      <c r="AL375" s="429"/>
      <c r="AM375" s="429"/>
    </row>
    <row r="376" spans="1:39">
      <c r="A376" s="50"/>
      <c r="B376" s="52" t="s">
        <v>137</v>
      </c>
      <c r="C376" s="53" t="s">
        <v>25</v>
      </c>
      <c r="D376" s="55" t="s">
        <v>26</v>
      </c>
      <c r="E376" s="53"/>
      <c r="F376" s="635" t="s">
        <v>1351</v>
      </c>
      <c r="G376" s="57" t="s">
        <v>78</v>
      </c>
      <c r="H376" s="58">
        <v>17800</v>
      </c>
      <c r="I376" s="59"/>
      <c r="J376" s="60" t="s">
        <v>4106</v>
      </c>
      <c r="K376" s="61"/>
      <c r="L376" s="62"/>
      <c r="M376" s="64"/>
      <c r="N376" s="65"/>
      <c r="O376" s="65"/>
      <c r="P376" s="65"/>
      <c r="Q376" s="65"/>
      <c r="R376" s="65"/>
      <c r="S376" s="65"/>
      <c r="T376" s="67"/>
      <c r="U376" s="67"/>
      <c r="V376" s="68" t="s">
        <v>4107</v>
      </c>
      <c r="W376" s="69" t="e">
        <v>#REF!</v>
      </c>
      <c r="X376" s="70"/>
      <c r="Y376" s="70"/>
      <c r="Z376" s="70"/>
      <c r="AA376" s="429"/>
      <c r="AB376" s="429"/>
      <c r="AC376" s="429"/>
      <c r="AD376" s="429"/>
      <c r="AE376" s="429"/>
      <c r="AF376" s="429"/>
      <c r="AG376" s="429"/>
      <c r="AH376" s="429"/>
      <c r="AI376" s="429"/>
      <c r="AJ376" s="429"/>
      <c r="AK376" s="429"/>
      <c r="AL376" s="429"/>
      <c r="AM376" s="429"/>
    </row>
    <row r="377" spans="1:39">
      <c r="A377" s="50"/>
      <c r="B377" s="52" t="s">
        <v>85</v>
      </c>
      <c r="C377" s="53" t="s">
        <v>25</v>
      </c>
      <c r="D377" s="55" t="s">
        <v>26</v>
      </c>
      <c r="E377" s="53"/>
      <c r="F377" s="635" t="s">
        <v>1352</v>
      </c>
      <c r="G377" s="57" t="s">
        <v>78</v>
      </c>
      <c r="H377" s="58">
        <v>85000</v>
      </c>
      <c r="I377" s="59"/>
      <c r="J377" s="60" t="s">
        <v>4106</v>
      </c>
      <c r="K377" s="61"/>
      <c r="L377" s="62"/>
      <c r="M377" s="64"/>
      <c r="N377" s="65"/>
      <c r="O377" s="65"/>
      <c r="P377" s="65"/>
      <c r="Q377" s="65"/>
      <c r="R377" s="65"/>
      <c r="S377" s="65"/>
      <c r="T377" s="67"/>
      <c r="U377" s="67"/>
      <c r="V377" s="68" t="s">
        <v>4107</v>
      </c>
      <c r="W377" s="69" t="e">
        <v>#REF!</v>
      </c>
      <c r="X377" s="70"/>
      <c r="Y377" s="70"/>
      <c r="Z377" s="70"/>
      <c r="AA377" s="429"/>
      <c r="AB377" s="429"/>
      <c r="AC377" s="429"/>
      <c r="AD377" s="429"/>
      <c r="AE377" s="429"/>
      <c r="AF377" s="429"/>
      <c r="AG377" s="429"/>
      <c r="AH377" s="429"/>
      <c r="AI377" s="429"/>
      <c r="AJ377" s="429"/>
      <c r="AK377" s="429"/>
      <c r="AL377" s="429"/>
      <c r="AM377" s="429"/>
    </row>
    <row r="378" spans="1:39">
      <c r="A378" s="50"/>
      <c r="B378" s="52" t="s">
        <v>87</v>
      </c>
      <c r="C378" s="53" t="s">
        <v>25</v>
      </c>
      <c r="D378" s="55" t="s">
        <v>26</v>
      </c>
      <c r="E378" s="53"/>
      <c r="F378" s="635" t="s">
        <v>1353</v>
      </c>
      <c r="G378" s="57" t="s">
        <v>78</v>
      </c>
      <c r="H378" s="58">
        <v>45000</v>
      </c>
      <c r="I378" s="59"/>
      <c r="J378" s="60" t="s">
        <v>4106</v>
      </c>
      <c r="K378" s="61"/>
      <c r="L378" s="62"/>
      <c r="M378" s="64"/>
      <c r="N378" s="65"/>
      <c r="O378" s="65"/>
      <c r="P378" s="65"/>
      <c r="Q378" s="65"/>
      <c r="R378" s="65"/>
      <c r="S378" s="65"/>
      <c r="T378" s="67"/>
      <c r="U378" s="67"/>
      <c r="V378" s="68" t="s">
        <v>4107</v>
      </c>
      <c r="W378" s="69" t="e">
        <v>#REF!</v>
      </c>
      <c r="X378" s="70"/>
      <c r="Y378" s="70"/>
      <c r="Z378" s="70"/>
      <c r="AA378" s="429"/>
      <c r="AB378" s="429"/>
      <c r="AC378" s="429"/>
      <c r="AD378" s="429"/>
      <c r="AE378" s="429"/>
      <c r="AF378" s="429"/>
      <c r="AG378" s="429"/>
      <c r="AH378" s="429"/>
      <c r="AI378" s="429"/>
      <c r="AJ378" s="429"/>
      <c r="AK378" s="429"/>
      <c r="AL378" s="429"/>
      <c r="AM378" s="429"/>
    </row>
    <row r="379" spans="1:39">
      <c r="A379" s="50"/>
      <c r="B379" s="52" t="s">
        <v>301</v>
      </c>
      <c r="C379" s="53" t="s">
        <v>25</v>
      </c>
      <c r="D379" s="55" t="s">
        <v>26</v>
      </c>
      <c r="E379" s="53"/>
      <c r="F379" s="635" t="s">
        <v>1354</v>
      </c>
      <c r="G379" s="57" t="s">
        <v>78</v>
      </c>
      <c r="H379" s="58">
        <v>95000</v>
      </c>
      <c r="I379" s="59"/>
      <c r="J379" s="60" t="s">
        <v>4106</v>
      </c>
      <c r="K379" s="61"/>
      <c r="L379" s="62"/>
      <c r="M379" s="64"/>
      <c r="N379" s="65"/>
      <c r="O379" s="65"/>
      <c r="P379" s="65"/>
      <c r="Q379" s="65"/>
      <c r="R379" s="65"/>
      <c r="S379" s="65"/>
      <c r="T379" s="67"/>
      <c r="U379" s="67"/>
      <c r="V379" s="68" t="s">
        <v>4107</v>
      </c>
      <c r="W379" s="69" t="e">
        <v>#REF!</v>
      </c>
      <c r="X379" s="70"/>
      <c r="Y379" s="70"/>
      <c r="Z379" s="70"/>
      <c r="AA379" s="429"/>
      <c r="AB379" s="429"/>
      <c r="AC379" s="429"/>
      <c r="AD379" s="429"/>
      <c r="AE379" s="429"/>
      <c r="AF379" s="429"/>
      <c r="AG379" s="429"/>
      <c r="AH379" s="429"/>
      <c r="AI379" s="429"/>
      <c r="AJ379" s="429"/>
      <c r="AK379" s="429"/>
      <c r="AL379" s="429"/>
      <c r="AM379" s="429"/>
    </row>
    <row r="380" spans="1:39">
      <c r="A380" s="50"/>
      <c r="B380" s="52" t="s">
        <v>304</v>
      </c>
      <c r="C380" s="53" t="s">
        <v>25</v>
      </c>
      <c r="D380" s="55" t="s">
        <v>26</v>
      </c>
      <c r="E380" s="53"/>
      <c r="F380" s="635" t="s">
        <v>1355</v>
      </c>
      <c r="G380" s="57" t="s">
        <v>78</v>
      </c>
      <c r="H380" s="58">
        <v>13400</v>
      </c>
      <c r="I380" s="59"/>
      <c r="J380" s="60" t="s">
        <v>4106</v>
      </c>
      <c r="K380" s="61"/>
      <c r="L380" s="62"/>
      <c r="M380" s="64"/>
      <c r="N380" s="65"/>
      <c r="O380" s="65"/>
      <c r="P380" s="65"/>
      <c r="Q380" s="65"/>
      <c r="R380" s="65"/>
      <c r="S380" s="65"/>
      <c r="T380" s="67"/>
      <c r="U380" s="67"/>
      <c r="V380" s="68" t="s">
        <v>4107</v>
      </c>
      <c r="W380" s="69" t="e">
        <v>#REF!</v>
      </c>
      <c r="X380" s="70"/>
      <c r="Y380" s="70"/>
      <c r="Z380" s="70"/>
      <c r="AA380" s="429"/>
      <c r="AB380" s="429"/>
      <c r="AC380" s="429"/>
      <c r="AD380" s="429"/>
      <c r="AE380" s="429"/>
      <c r="AF380" s="429"/>
      <c r="AG380" s="429"/>
      <c r="AH380" s="429"/>
      <c r="AI380" s="429"/>
      <c r="AJ380" s="429"/>
      <c r="AK380" s="429"/>
      <c r="AL380" s="429"/>
      <c r="AM380" s="429"/>
    </row>
    <row r="381" spans="1:39">
      <c r="A381" s="50"/>
      <c r="B381" s="52" t="s">
        <v>491</v>
      </c>
      <c r="C381" s="53" t="s">
        <v>25</v>
      </c>
      <c r="D381" s="55" t="s">
        <v>26</v>
      </c>
      <c r="E381" s="53"/>
      <c r="F381" s="635" t="s">
        <v>1356</v>
      </c>
      <c r="G381" s="57" t="s">
        <v>78</v>
      </c>
      <c r="H381" s="58">
        <v>22500</v>
      </c>
      <c r="I381" s="59"/>
      <c r="J381" s="60" t="s">
        <v>4106</v>
      </c>
      <c r="K381" s="61"/>
      <c r="L381" s="62"/>
      <c r="M381" s="64"/>
      <c r="N381" s="65"/>
      <c r="O381" s="65"/>
      <c r="P381" s="65"/>
      <c r="Q381" s="65"/>
      <c r="R381" s="65"/>
      <c r="S381" s="65"/>
      <c r="T381" s="67"/>
      <c r="U381" s="67"/>
      <c r="V381" s="68" t="s">
        <v>4107</v>
      </c>
      <c r="W381" s="69" t="e">
        <v>#REF!</v>
      </c>
      <c r="X381" s="70"/>
      <c r="Y381" s="70"/>
      <c r="Z381" s="70"/>
      <c r="AA381" s="429"/>
      <c r="AB381" s="429"/>
      <c r="AC381" s="429"/>
      <c r="AD381" s="429"/>
      <c r="AE381" s="429"/>
      <c r="AF381" s="429"/>
      <c r="AG381" s="429"/>
      <c r="AH381" s="429"/>
      <c r="AI381" s="429"/>
      <c r="AJ381" s="429"/>
      <c r="AK381" s="429"/>
      <c r="AL381" s="429"/>
      <c r="AM381" s="429"/>
    </row>
    <row r="382" spans="1:39">
      <c r="A382" s="50"/>
      <c r="B382" s="52" t="s">
        <v>1357</v>
      </c>
      <c r="C382" s="53" t="s">
        <v>25</v>
      </c>
      <c r="D382" s="55" t="s">
        <v>26</v>
      </c>
      <c r="E382" s="53"/>
      <c r="F382" s="635" t="s">
        <v>1358</v>
      </c>
      <c r="G382" s="57" t="s">
        <v>78</v>
      </c>
      <c r="H382" s="58">
        <v>9500</v>
      </c>
      <c r="I382" s="59"/>
      <c r="J382" s="60" t="s">
        <v>4106</v>
      </c>
      <c r="K382" s="61"/>
      <c r="L382" s="62"/>
      <c r="M382" s="64"/>
      <c r="N382" s="65"/>
      <c r="O382" s="65"/>
      <c r="P382" s="65"/>
      <c r="Q382" s="65"/>
      <c r="R382" s="65"/>
      <c r="S382" s="65"/>
      <c r="T382" s="67"/>
      <c r="U382" s="67"/>
      <c r="V382" s="68" t="s">
        <v>4107</v>
      </c>
      <c r="W382" s="69" t="e">
        <v>#REF!</v>
      </c>
      <c r="X382" s="70"/>
      <c r="Y382" s="70"/>
      <c r="Z382" s="70"/>
      <c r="AA382" s="429"/>
      <c r="AB382" s="429"/>
      <c r="AC382" s="429"/>
      <c r="AD382" s="429"/>
      <c r="AE382" s="429"/>
      <c r="AF382" s="429"/>
      <c r="AG382" s="429"/>
      <c r="AH382" s="429"/>
      <c r="AI382" s="429"/>
      <c r="AJ382" s="429"/>
      <c r="AK382" s="429"/>
      <c r="AL382" s="429"/>
      <c r="AM382" s="429"/>
    </row>
    <row r="383" spans="1:39">
      <c r="A383" s="50"/>
      <c r="B383" s="52" t="s">
        <v>354</v>
      </c>
      <c r="C383" s="53" t="s">
        <v>25</v>
      </c>
      <c r="D383" s="55" t="s">
        <v>26</v>
      </c>
      <c r="E383" s="53"/>
      <c r="F383" s="635" t="s">
        <v>1359</v>
      </c>
      <c r="G383" s="57" t="s">
        <v>78</v>
      </c>
      <c r="H383" s="58">
        <v>16000</v>
      </c>
      <c r="I383" s="59"/>
      <c r="J383" s="60" t="s">
        <v>4106</v>
      </c>
      <c r="K383" s="61"/>
      <c r="L383" s="62"/>
      <c r="M383" s="64"/>
      <c r="N383" s="65"/>
      <c r="O383" s="65"/>
      <c r="P383" s="65"/>
      <c r="Q383" s="65"/>
      <c r="R383" s="65"/>
      <c r="S383" s="65"/>
      <c r="T383" s="67"/>
      <c r="U383" s="67"/>
      <c r="V383" s="68" t="s">
        <v>4107</v>
      </c>
      <c r="W383" s="69" t="e">
        <v>#REF!</v>
      </c>
      <c r="X383" s="70"/>
      <c r="Y383" s="70"/>
      <c r="Z383" s="70"/>
      <c r="AA383" s="429"/>
      <c r="AB383" s="429"/>
      <c r="AC383" s="429"/>
      <c r="AD383" s="429"/>
      <c r="AE383" s="429"/>
      <c r="AF383" s="429"/>
      <c r="AG383" s="429"/>
      <c r="AH383" s="429"/>
      <c r="AI383" s="429"/>
      <c r="AJ383" s="429"/>
      <c r="AK383" s="429"/>
      <c r="AL383" s="429"/>
      <c r="AM383" s="429"/>
    </row>
    <row r="384" spans="1:39">
      <c r="A384" s="50"/>
      <c r="B384" s="52" t="s">
        <v>342</v>
      </c>
      <c r="C384" s="53" t="s">
        <v>25</v>
      </c>
      <c r="D384" s="55" t="s">
        <v>26</v>
      </c>
      <c r="E384" s="53"/>
      <c r="F384" s="635" t="s">
        <v>1360</v>
      </c>
      <c r="G384" s="57" t="s">
        <v>78</v>
      </c>
      <c r="H384" s="58">
        <v>20000</v>
      </c>
      <c r="I384" s="59"/>
      <c r="J384" s="60" t="s">
        <v>4106</v>
      </c>
      <c r="K384" s="61"/>
      <c r="L384" s="62"/>
      <c r="M384" s="64"/>
      <c r="N384" s="65"/>
      <c r="O384" s="65"/>
      <c r="P384" s="65"/>
      <c r="Q384" s="65"/>
      <c r="R384" s="65"/>
      <c r="S384" s="65"/>
      <c r="T384" s="67"/>
      <c r="U384" s="67"/>
      <c r="V384" s="68" t="s">
        <v>4107</v>
      </c>
      <c r="W384" s="69" t="e">
        <v>#REF!</v>
      </c>
      <c r="X384" s="70"/>
      <c r="Y384" s="70"/>
      <c r="Z384" s="70"/>
      <c r="AA384" s="429"/>
      <c r="AB384" s="429"/>
      <c r="AC384" s="429"/>
      <c r="AD384" s="429"/>
      <c r="AE384" s="429"/>
      <c r="AF384" s="429"/>
      <c r="AG384" s="429"/>
      <c r="AH384" s="429"/>
      <c r="AI384" s="429"/>
      <c r="AJ384" s="429"/>
      <c r="AK384" s="429"/>
      <c r="AL384" s="429"/>
      <c r="AM384" s="429"/>
    </row>
    <row r="385" spans="1:39">
      <c r="A385" s="50"/>
      <c r="B385" s="52" t="s">
        <v>344</v>
      </c>
      <c r="C385" s="53" t="s">
        <v>25</v>
      </c>
      <c r="D385" s="55" t="s">
        <v>26</v>
      </c>
      <c r="E385" s="53"/>
      <c r="F385" s="635" t="s">
        <v>1361</v>
      </c>
      <c r="G385" s="57" t="s">
        <v>78</v>
      </c>
      <c r="H385" s="58">
        <v>11000</v>
      </c>
      <c r="I385" s="59"/>
      <c r="J385" s="60" t="s">
        <v>4106</v>
      </c>
      <c r="K385" s="61"/>
      <c r="L385" s="62"/>
      <c r="M385" s="64"/>
      <c r="N385" s="65"/>
      <c r="O385" s="65"/>
      <c r="P385" s="65"/>
      <c r="Q385" s="65"/>
      <c r="R385" s="65"/>
      <c r="S385" s="65"/>
      <c r="T385" s="67"/>
      <c r="U385" s="67"/>
      <c r="V385" s="68" t="s">
        <v>4107</v>
      </c>
      <c r="W385" s="69" t="e">
        <v>#REF!</v>
      </c>
      <c r="X385" s="70"/>
      <c r="Y385" s="70"/>
      <c r="Z385" s="70"/>
      <c r="AA385" s="429"/>
      <c r="AB385" s="429"/>
      <c r="AC385" s="429"/>
      <c r="AD385" s="429"/>
      <c r="AE385" s="429"/>
      <c r="AF385" s="429"/>
      <c r="AG385" s="429"/>
      <c r="AH385" s="429"/>
      <c r="AI385" s="429"/>
      <c r="AJ385" s="429"/>
      <c r="AK385" s="429"/>
      <c r="AL385" s="429"/>
      <c r="AM385" s="429"/>
    </row>
    <row r="386" spans="1:39">
      <c r="A386" s="50"/>
      <c r="B386" s="52" t="s">
        <v>346</v>
      </c>
      <c r="C386" s="53" t="s">
        <v>25</v>
      </c>
      <c r="D386" s="55" t="s">
        <v>26</v>
      </c>
      <c r="E386" s="53"/>
      <c r="F386" s="635" t="s">
        <v>1362</v>
      </c>
      <c r="G386" s="57" t="s">
        <v>78</v>
      </c>
      <c r="H386" s="58">
        <v>11000</v>
      </c>
      <c r="I386" s="59"/>
      <c r="J386" s="60" t="s">
        <v>4106</v>
      </c>
      <c r="K386" s="61"/>
      <c r="L386" s="62"/>
      <c r="M386" s="64"/>
      <c r="N386" s="65"/>
      <c r="O386" s="65"/>
      <c r="P386" s="65"/>
      <c r="Q386" s="65"/>
      <c r="R386" s="65"/>
      <c r="S386" s="65"/>
      <c r="T386" s="67"/>
      <c r="U386" s="67"/>
      <c r="V386" s="68" t="s">
        <v>4107</v>
      </c>
      <c r="W386" s="69" t="e">
        <v>#REF!</v>
      </c>
      <c r="X386" s="70"/>
      <c r="Y386" s="70"/>
      <c r="Z386" s="70"/>
      <c r="AA386" s="429"/>
      <c r="AB386" s="429"/>
      <c r="AC386" s="429"/>
      <c r="AD386" s="429"/>
      <c r="AE386" s="429"/>
      <c r="AF386" s="429"/>
      <c r="AG386" s="429"/>
      <c r="AH386" s="429"/>
      <c r="AI386" s="429"/>
      <c r="AJ386" s="429"/>
      <c r="AK386" s="429"/>
      <c r="AL386" s="429"/>
      <c r="AM386" s="429"/>
    </row>
    <row r="387" spans="1:39">
      <c r="A387" s="50"/>
      <c r="B387" s="52" t="s">
        <v>348</v>
      </c>
      <c r="C387" s="53" t="s">
        <v>25</v>
      </c>
      <c r="D387" s="55" t="s">
        <v>26</v>
      </c>
      <c r="E387" s="53"/>
      <c r="F387" s="635" t="s">
        <v>1363</v>
      </c>
      <c r="G387" s="57" t="s">
        <v>78</v>
      </c>
      <c r="H387" s="58">
        <v>15000</v>
      </c>
      <c r="I387" s="59"/>
      <c r="J387" s="60" t="s">
        <v>4106</v>
      </c>
      <c r="K387" s="61"/>
      <c r="L387" s="62"/>
      <c r="M387" s="64"/>
      <c r="N387" s="65"/>
      <c r="O387" s="65"/>
      <c r="P387" s="65"/>
      <c r="Q387" s="65"/>
      <c r="R387" s="65"/>
      <c r="S387" s="65"/>
      <c r="T387" s="67"/>
      <c r="U387" s="67"/>
      <c r="V387" s="68" t="s">
        <v>4107</v>
      </c>
      <c r="W387" s="69" t="e">
        <v>#REF!</v>
      </c>
      <c r="X387" s="70"/>
      <c r="Y387" s="70"/>
      <c r="Z387" s="70"/>
      <c r="AA387" s="429"/>
      <c r="AB387" s="429"/>
      <c r="AC387" s="429"/>
      <c r="AD387" s="429"/>
      <c r="AE387" s="429"/>
      <c r="AF387" s="429"/>
      <c r="AG387" s="429"/>
      <c r="AH387" s="429"/>
      <c r="AI387" s="429"/>
      <c r="AJ387" s="429"/>
      <c r="AK387" s="429"/>
      <c r="AL387" s="429"/>
      <c r="AM387" s="429"/>
    </row>
    <row r="388" spans="1:39">
      <c r="A388" s="50"/>
      <c r="B388" s="52" t="s">
        <v>352</v>
      </c>
      <c r="C388" s="53" t="s">
        <v>25</v>
      </c>
      <c r="D388" s="55" t="s">
        <v>26</v>
      </c>
      <c r="E388" s="53"/>
      <c r="F388" s="635" t="s">
        <v>1364</v>
      </c>
      <c r="G388" s="57" t="s">
        <v>78</v>
      </c>
      <c r="H388" s="58">
        <v>27700</v>
      </c>
      <c r="I388" s="59"/>
      <c r="J388" s="60" t="s">
        <v>4106</v>
      </c>
      <c r="K388" s="61"/>
      <c r="L388" s="62"/>
      <c r="M388" s="64"/>
      <c r="N388" s="65"/>
      <c r="O388" s="65"/>
      <c r="P388" s="65"/>
      <c r="Q388" s="65"/>
      <c r="R388" s="65"/>
      <c r="S388" s="65"/>
      <c r="T388" s="67"/>
      <c r="U388" s="67"/>
      <c r="V388" s="68" t="s">
        <v>4107</v>
      </c>
      <c r="W388" s="69" t="e">
        <v>#REF!</v>
      </c>
      <c r="X388" s="70"/>
      <c r="Y388" s="70"/>
      <c r="Z388" s="70"/>
      <c r="AA388" s="429"/>
      <c r="AB388" s="429"/>
      <c r="AC388" s="429"/>
      <c r="AD388" s="429"/>
      <c r="AE388" s="429"/>
      <c r="AF388" s="429"/>
      <c r="AG388" s="429"/>
      <c r="AH388" s="429"/>
      <c r="AI388" s="429"/>
      <c r="AJ388" s="429"/>
      <c r="AK388" s="429"/>
      <c r="AL388" s="429"/>
      <c r="AM388" s="429"/>
    </row>
    <row r="389" spans="1:39">
      <c r="A389" s="50"/>
      <c r="B389" s="52" t="s">
        <v>645</v>
      </c>
      <c r="C389" s="53" t="s">
        <v>25</v>
      </c>
      <c r="D389" s="55" t="s">
        <v>26</v>
      </c>
      <c r="E389" s="53"/>
      <c r="F389" s="635" t="s">
        <v>1365</v>
      </c>
      <c r="G389" s="57" t="s">
        <v>78</v>
      </c>
      <c r="H389" s="58">
        <v>25000</v>
      </c>
      <c r="I389" s="59"/>
      <c r="J389" s="60" t="s">
        <v>4106</v>
      </c>
      <c r="K389" s="61"/>
      <c r="L389" s="62"/>
      <c r="M389" s="64"/>
      <c r="N389" s="65"/>
      <c r="O389" s="65"/>
      <c r="P389" s="65"/>
      <c r="Q389" s="65"/>
      <c r="R389" s="65"/>
      <c r="S389" s="65"/>
      <c r="T389" s="67"/>
      <c r="U389" s="67"/>
      <c r="V389" s="68" t="s">
        <v>4107</v>
      </c>
      <c r="W389" s="69" t="e">
        <v>#REF!</v>
      </c>
      <c r="X389" s="70"/>
      <c r="Y389" s="70"/>
      <c r="Z389" s="70"/>
      <c r="AA389" s="429"/>
      <c r="AB389" s="429"/>
      <c r="AC389" s="429"/>
      <c r="AD389" s="429"/>
      <c r="AE389" s="429"/>
      <c r="AF389" s="429"/>
      <c r="AG389" s="429"/>
      <c r="AH389" s="429"/>
      <c r="AI389" s="429"/>
      <c r="AJ389" s="429"/>
      <c r="AK389" s="429"/>
      <c r="AL389" s="429"/>
      <c r="AM389" s="429"/>
    </row>
    <row r="390" spans="1:39">
      <c r="A390" s="50"/>
      <c r="B390" s="52" t="s">
        <v>643</v>
      </c>
      <c r="C390" s="53" t="s">
        <v>25</v>
      </c>
      <c r="D390" s="55" t="s">
        <v>26</v>
      </c>
      <c r="E390" s="53"/>
      <c r="F390" s="635" t="s">
        <v>1366</v>
      </c>
      <c r="G390" s="57" t="s">
        <v>78</v>
      </c>
      <c r="H390" s="58">
        <v>30000</v>
      </c>
      <c r="I390" s="59"/>
      <c r="J390" s="60" t="s">
        <v>4106</v>
      </c>
      <c r="K390" s="61"/>
      <c r="L390" s="62"/>
      <c r="M390" s="64"/>
      <c r="N390" s="65"/>
      <c r="O390" s="65"/>
      <c r="P390" s="65"/>
      <c r="Q390" s="65"/>
      <c r="R390" s="65"/>
      <c r="S390" s="65"/>
      <c r="T390" s="67"/>
      <c r="U390" s="67"/>
      <c r="V390" s="68" t="s">
        <v>4107</v>
      </c>
      <c r="W390" s="69" t="e">
        <v>#REF!</v>
      </c>
      <c r="X390" s="70"/>
      <c r="Y390" s="70"/>
      <c r="Z390" s="70"/>
      <c r="AA390" s="429"/>
      <c r="AB390" s="429"/>
      <c r="AC390" s="429"/>
      <c r="AD390" s="429"/>
      <c r="AE390" s="429"/>
      <c r="AF390" s="429"/>
      <c r="AG390" s="429"/>
      <c r="AH390" s="429"/>
      <c r="AI390" s="429"/>
      <c r="AJ390" s="429"/>
      <c r="AK390" s="429"/>
      <c r="AL390" s="429"/>
      <c r="AM390" s="429"/>
    </row>
    <row r="391" spans="1:39">
      <c r="A391" s="50"/>
      <c r="B391" s="52" t="s">
        <v>649</v>
      </c>
      <c r="C391" s="53" t="s">
        <v>25</v>
      </c>
      <c r="D391" s="55" t="s">
        <v>26</v>
      </c>
      <c r="E391" s="53"/>
      <c r="F391" s="635" t="s">
        <v>1367</v>
      </c>
      <c r="G391" s="57" t="s">
        <v>78</v>
      </c>
      <c r="H391" s="58">
        <v>40000</v>
      </c>
      <c r="I391" s="59"/>
      <c r="J391" s="60" t="s">
        <v>4106</v>
      </c>
      <c r="K391" s="61"/>
      <c r="L391" s="62"/>
      <c r="M391" s="64"/>
      <c r="N391" s="65"/>
      <c r="O391" s="65"/>
      <c r="P391" s="65"/>
      <c r="Q391" s="65"/>
      <c r="R391" s="65"/>
      <c r="S391" s="65"/>
      <c r="T391" s="67"/>
      <c r="U391" s="67"/>
      <c r="V391" s="68" t="s">
        <v>4107</v>
      </c>
      <c r="W391" s="69" t="e">
        <v>#REF!</v>
      </c>
      <c r="X391" s="70"/>
      <c r="Y391" s="70"/>
      <c r="Z391" s="70"/>
      <c r="AA391" s="429"/>
      <c r="AB391" s="429"/>
      <c r="AC391" s="429"/>
      <c r="AD391" s="429"/>
      <c r="AE391" s="429"/>
      <c r="AF391" s="429"/>
      <c r="AG391" s="429"/>
      <c r="AH391" s="429"/>
      <c r="AI391" s="429"/>
      <c r="AJ391" s="429"/>
      <c r="AK391" s="429"/>
      <c r="AL391" s="429"/>
      <c r="AM391" s="429"/>
    </row>
    <row r="392" spans="1:39">
      <c r="A392" s="50"/>
      <c r="B392" s="52" t="s">
        <v>651</v>
      </c>
      <c r="C392" s="53" t="s">
        <v>25</v>
      </c>
      <c r="D392" s="55" t="s">
        <v>26</v>
      </c>
      <c r="E392" s="53"/>
      <c r="F392" s="635" t="s">
        <v>1368</v>
      </c>
      <c r="G392" s="57" t="s">
        <v>78</v>
      </c>
      <c r="H392" s="58">
        <v>21400</v>
      </c>
      <c r="I392" s="59"/>
      <c r="J392" s="60" t="s">
        <v>4106</v>
      </c>
      <c r="K392" s="61"/>
      <c r="L392" s="62"/>
      <c r="M392" s="64"/>
      <c r="N392" s="65"/>
      <c r="O392" s="65"/>
      <c r="P392" s="65"/>
      <c r="Q392" s="65"/>
      <c r="R392" s="65"/>
      <c r="S392" s="65"/>
      <c r="T392" s="67"/>
      <c r="U392" s="67"/>
      <c r="V392" s="68" t="s">
        <v>4107</v>
      </c>
      <c r="W392" s="69" t="e">
        <v>#REF!</v>
      </c>
      <c r="X392" s="70"/>
      <c r="Y392" s="70"/>
      <c r="Z392" s="70"/>
      <c r="AA392" s="429"/>
      <c r="AB392" s="429"/>
      <c r="AC392" s="429"/>
      <c r="AD392" s="429"/>
      <c r="AE392" s="429"/>
      <c r="AF392" s="429"/>
      <c r="AG392" s="429"/>
      <c r="AH392" s="429"/>
      <c r="AI392" s="429"/>
      <c r="AJ392" s="429"/>
      <c r="AK392" s="429"/>
      <c r="AL392" s="429"/>
      <c r="AM392" s="429"/>
    </row>
    <row r="393" spans="1:39">
      <c r="A393" s="50"/>
      <c r="B393" s="52" t="s">
        <v>661</v>
      </c>
      <c r="C393" s="53" t="s">
        <v>25</v>
      </c>
      <c r="D393" s="55" t="s">
        <v>26</v>
      </c>
      <c r="E393" s="53"/>
      <c r="F393" s="635" t="s">
        <v>1369</v>
      </c>
      <c r="G393" s="57" t="s">
        <v>28</v>
      </c>
      <c r="H393" s="58">
        <v>7500000</v>
      </c>
      <c r="I393" s="59"/>
      <c r="J393" s="60" t="s">
        <v>4106</v>
      </c>
      <c r="K393" s="61"/>
      <c r="L393" s="62"/>
      <c r="M393" s="64"/>
      <c r="N393" s="65"/>
      <c r="O393" s="65"/>
      <c r="P393" s="65"/>
      <c r="Q393" s="65"/>
      <c r="R393" s="65"/>
      <c r="S393" s="65"/>
      <c r="T393" s="67"/>
      <c r="U393" s="67"/>
      <c r="V393" s="68" t="s">
        <v>4107</v>
      </c>
      <c r="W393" s="69" t="e">
        <v>#REF!</v>
      </c>
      <c r="X393" s="70"/>
      <c r="Y393" s="70"/>
      <c r="Z393" s="70"/>
      <c r="AA393" s="429"/>
      <c r="AB393" s="429"/>
      <c r="AC393" s="429"/>
      <c r="AD393" s="429"/>
      <c r="AE393" s="429"/>
      <c r="AF393" s="429"/>
      <c r="AG393" s="429"/>
      <c r="AH393" s="429"/>
      <c r="AI393" s="429"/>
      <c r="AJ393" s="429"/>
      <c r="AK393" s="429"/>
      <c r="AL393" s="429"/>
      <c r="AM393" s="429"/>
    </row>
    <row r="394" spans="1:39">
      <c r="A394" s="50"/>
      <c r="B394" s="52" t="s">
        <v>655</v>
      </c>
      <c r="C394" s="53" t="s">
        <v>25</v>
      </c>
      <c r="D394" s="55" t="s">
        <v>26</v>
      </c>
      <c r="E394" s="53"/>
      <c r="F394" s="635" t="s">
        <v>1370</v>
      </c>
      <c r="G394" s="57" t="s">
        <v>28</v>
      </c>
      <c r="H394" s="58">
        <v>4000000</v>
      </c>
      <c r="I394" s="59"/>
      <c r="J394" s="60" t="s">
        <v>4106</v>
      </c>
      <c r="K394" s="61"/>
      <c r="L394" s="62"/>
      <c r="M394" s="64"/>
      <c r="N394" s="65"/>
      <c r="O394" s="65"/>
      <c r="P394" s="65"/>
      <c r="Q394" s="65"/>
      <c r="R394" s="65"/>
      <c r="S394" s="65"/>
      <c r="T394" s="67"/>
      <c r="U394" s="67"/>
      <c r="V394" s="68" t="s">
        <v>4107</v>
      </c>
      <c r="W394" s="69" t="e">
        <v>#REF!</v>
      </c>
      <c r="X394" s="70"/>
      <c r="Y394" s="70"/>
      <c r="Z394" s="70"/>
      <c r="AA394" s="429"/>
      <c r="AB394" s="429"/>
      <c r="AC394" s="429"/>
      <c r="AD394" s="429"/>
      <c r="AE394" s="429"/>
      <c r="AF394" s="429"/>
      <c r="AG394" s="429"/>
      <c r="AH394" s="429"/>
      <c r="AI394" s="429"/>
      <c r="AJ394" s="429"/>
      <c r="AK394" s="429"/>
      <c r="AL394" s="429"/>
      <c r="AM394" s="429"/>
    </row>
    <row r="395" spans="1:39">
      <c r="A395" s="50"/>
      <c r="B395" s="52" t="s">
        <v>659</v>
      </c>
      <c r="C395" s="53" t="s">
        <v>25</v>
      </c>
      <c r="D395" s="55" t="s">
        <v>26</v>
      </c>
      <c r="E395" s="53"/>
      <c r="F395" s="635" t="s">
        <v>1373</v>
      </c>
      <c r="G395" s="57" t="s">
        <v>28</v>
      </c>
      <c r="H395" s="58">
        <v>4500000</v>
      </c>
      <c r="I395" s="59"/>
      <c r="J395" s="60" t="s">
        <v>4106</v>
      </c>
      <c r="K395" s="61"/>
      <c r="L395" s="62"/>
      <c r="M395" s="64"/>
      <c r="N395" s="65"/>
      <c r="O395" s="65"/>
      <c r="P395" s="65"/>
      <c r="Q395" s="65"/>
      <c r="R395" s="65"/>
      <c r="S395" s="65"/>
      <c r="T395" s="67"/>
      <c r="U395" s="67"/>
      <c r="V395" s="68" t="s">
        <v>4107</v>
      </c>
      <c r="W395" s="69" t="e">
        <v>#REF!</v>
      </c>
      <c r="X395" s="70"/>
      <c r="Y395" s="70"/>
      <c r="Z395" s="70"/>
      <c r="AA395" s="429"/>
      <c r="AB395" s="429"/>
      <c r="AC395" s="429"/>
      <c r="AD395" s="429"/>
      <c r="AE395" s="429"/>
      <c r="AF395" s="429"/>
      <c r="AG395" s="429"/>
      <c r="AH395" s="429"/>
      <c r="AI395" s="429"/>
      <c r="AJ395" s="429"/>
      <c r="AK395" s="429"/>
      <c r="AL395" s="429"/>
      <c r="AM395" s="429"/>
    </row>
    <row r="396" spans="1:39">
      <c r="A396" s="50"/>
      <c r="B396" s="52" t="s">
        <v>329</v>
      </c>
      <c r="C396" s="53" t="s">
        <v>25</v>
      </c>
      <c r="D396" s="55" t="s">
        <v>26</v>
      </c>
      <c r="E396" s="53"/>
      <c r="F396" s="635" t="s">
        <v>1374</v>
      </c>
      <c r="G396" s="57" t="s">
        <v>28</v>
      </c>
      <c r="H396" s="58">
        <v>6800000</v>
      </c>
      <c r="I396" s="59"/>
      <c r="J396" s="60" t="s">
        <v>4106</v>
      </c>
      <c r="K396" s="61"/>
      <c r="L396" s="62"/>
      <c r="M396" s="64"/>
      <c r="N396" s="65"/>
      <c r="O396" s="65"/>
      <c r="P396" s="65"/>
      <c r="Q396" s="65"/>
      <c r="R396" s="65"/>
      <c r="S396" s="65"/>
      <c r="T396" s="67"/>
      <c r="U396" s="67"/>
      <c r="V396" s="68" t="s">
        <v>4107</v>
      </c>
      <c r="W396" s="69" t="e">
        <v>#REF!</v>
      </c>
      <c r="X396" s="70"/>
      <c r="Y396" s="70"/>
      <c r="Z396" s="70"/>
      <c r="AA396" s="429"/>
      <c r="AB396" s="429"/>
      <c r="AC396" s="429"/>
      <c r="AD396" s="429"/>
      <c r="AE396" s="429"/>
      <c r="AF396" s="429"/>
      <c r="AG396" s="429"/>
      <c r="AH396" s="429"/>
      <c r="AI396" s="429"/>
      <c r="AJ396" s="429"/>
      <c r="AK396" s="429"/>
      <c r="AL396" s="429"/>
      <c r="AM396" s="429"/>
    </row>
    <row r="397" spans="1:39">
      <c r="A397" s="50"/>
      <c r="B397" s="52" t="s">
        <v>332</v>
      </c>
      <c r="C397" s="53" t="s">
        <v>25</v>
      </c>
      <c r="D397" s="55" t="s">
        <v>26</v>
      </c>
      <c r="E397" s="53"/>
      <c r="F397" s="635" t="s">
        <v>1375</v>
      </c>
      <c r="G397" s="57" t="s">
        <v>28</v>
      </c>
      <c r="H397" s="58">
        <v>4000000</v>
      </c>
      <c r="I397" s="59"/>
      <c r="J397" s="60" t="s">
        <v>4106</v>
      </c>
      <c r="K397" s="61"/>
      <c r="L397" s="62"/>
      <c r="M397" s="64"/>
      <c r="N397" s="65"/>
      <c r="O397" s="65"/>
      <c r="P397" s="65"/>
      <c r="Q397" s="65"/>
      <c r="R397" s="65"/>
      <c r="S397" s="65"/>
      <c r="T397" s="67"/>
      <c r="U397" s="67"/>
      <c r="V397" s="68" t="s">
        <v>4107</v>
      </c>
      <c r="W397" s="69" t="e">
        <v>#REF!</v>
      </c>
      <c r="X397" s="70"/>
      <c r="Y397" s="70"/>
      <c r="Z397" s="70"/>
      <c r="AA397" s="429"/>
      <c r="AB397" s="429"/>
      <c r="AC397" s="429"/>
      <c r="AD397" s="429"/>
      <c r="AE397" s="429"/>
      <c r="AF397" s="429"/>
      <c r="AG397" s="429"/>
      <c r="AH397" s="429"/>
      <c r="AI397" s="429"/>
      <c r="AJ397" s="429"/>
      <c r="AK397" s="429"/>
      <c r="AL397" s="429"/>
      <c r="AM397" s="429"/>
    </row>
    <row r="398" spans="1:39">
      <c r="A398" s="50"/>
      <c r="B398" s="52" t="s">
        <v>334</v>
      </c>
      <c r="C398" s="53" t="s">
        <v>25</v>
      </c>
      <c r="D398" s="55" t="s">
        <v>26</v>
      </c>
      <c r="E398" s="53"/>
      <c r="F398" s="635" t="s">
        <v>1378</v>
      </c>
      <c r="G398" s="57" t="s">
        <v>28</v>
      </c>
      <c r="H398" s="58">
        <v>4500000</v>
      </c>
      <c r="I398" s="59"/>
      <c r="J398" s="60" t="s">
        <v>4106</v>
      </c>
      <c r="K398" s="61"/>
      <c r="L398" s="62"/>
      <c r="M398" s="64"/>
      <c r="N398" s="65"/>
      <c r="O398" s="65"/>
      <c r="P398" s="65"/>
      <c r="Q398" s="65"/>
      <c r="R398" s="65"/>
      <c r="S398" s="65"/>
      <c r="T398" s="67"/>
      <c r="U398" s="67"/>
      <c r="V398" s="68" t="s">
        <v>4107</v>
      </c>
      <c r="W398" s="69" t="e">
        <v>#REF!</v>
      </c>
      <c r="X398" s="70"/>
      <c r="Y398" s="70"/>
      <c r="Z398" s="70"/>
      <c r="AA398" s="429"/>
      <c r="AB398" s="429"/>
      <c r="AC398" s="429"/>
      <c r="AD398" s="429"/>
      <c r="AE398" s="429"/>
      <c r="AF398" s="429"/>
      <c r="AG398" s="429"/>
      <c r="AH398" s="429"/>
      <c r="AI398" s="429"/>
      <c r="AJ398" s="429"/>
      <c r="AK398" s="429"/>
      <c r="AL398" s="429"/>
      <c r="AM398" s="429"/>
    </row>
    <row r="399" spans="1:39">
      <c r="A399" s="50"/>
      <c r="B399" s="52" t="s">
        <v>336</v>
      </c>
      <c r="C399" s="53" t="s">
        <v>25</v>
      </c>
      <c r="D399" s="55" t="s">
        <v>26</v>
      </c>
      <c r="E399" s="53"/>
      <c r="F399" s="635" t="s">
        <v>1379</v>
      </c>
      <c r="G399" s="57" t="s">
        <v>28</v>
      </c>
      <c r="H399" s="58">
        <v>2800000</v>
      </c>
      <c r="I399" s="59"/>
      <c r="J399" s="60" t="s">
        <v>4106</v>
      </c>
      <c r="K399" s="61"/>
      <c r="L399" s="62"/>
      <c r="M399" s="64"/>
      <c r="N399" s="65"/>
      <c r="O399" s="65"/>
      <c r="P399" s="65"/>
      <c r="Q399" s="65"/>
      <c r="R399" s="65"/>
      <c r="S399" s="65"/>
      <c r="T399" s="67"/>
      <c r="U399" s="67"/>
      <c r="V399" s="68" t="s">
        <v>4107</v>
      </c>
      <c r="W399" s="69" t="e">
        <v>#REF!</v>
      </c>
      <c r="X399" s="70"/>
      <c r="Y399" s="70"/>
      <c r="Z399" s="70"/>
      <c r="AA399" s="429"/>
      <c r="AB399" s="429"/>
      <c r="AC399" s="429"/>
      <c r="AD399" s="429"/>
      <c r="AE399" s="429"/>
      <c r="AF399" s="429"/>
      <c r="AG399" s="429"/>
      <c r="AH399" s="429"/>
      <c r="AI399" s="429"/>
      <c r="AJ399" s="429"/>
      <c r="AK399" s="429"/>
      <c r="AL399" s="429"/>
      <c r="AM399" s="429"/>
    </row>
    <row r="400" spans="1:39">
      <c r="A400" s="50"/>
      <c r="B400" s="52" t="s">
        <v>338</v>
      </c>
      <c r="C400" s="53" t="s">
        <v>25</v>
      </c>
      <c r="D400" s="55" t="s">
        <v>26</v>
      </c>
      <c r="E400" s="53"/>
      <c r="F400" s="635" t="s">
        <v>1382</v>
      </c>
      <c r="G400" s="57" t="s">
        <v>28</v>
      </c>
      <c r="H400" s="58">
        <v>3300000</v>
      </c>
      <c r="I400" s="59"/>
      <c r="J400" s="60" t="s">
        <v>4106</v>
      </c>
      <c r="K400" s="61"/>
      <c r="L400" s="62"/>
      <c r="M400" s="64"/>
      <c r="N400" s="65"/>
      <c r="O400" s="65"/>
      <c r="P400" s="65"/>
      <c r="Q400" s="65"/>
      <c r="R400" s="65"/>
      <c r="S400" s="65"/>
      <c r="T400" s="67"/>
      <c r="U400" s="67"/>
      <c r="V400" s="68" t="s">
        <v>4107</v>
      </c>
      <c r="W400" s="69" t="e">
        <v>#REF!</v>
      </c>
      <c r="X400" s="70"/>
      <c r="Y400" s="70"/>
      <c r="Z400" s="70"/>
      <c r="AA400" s="429"/>
      <c r="AB400" s="429"/>
      <c r="AC400" s="429"/>
      <c r="AD400" s="429"/>
      <c r="AE400" s="429"/>
      <c r="AF400" s="429"/>
      <c r="AG400" s="429"/>
      <c r="AH400" s="429"/>
      <c r="AI400" s="429"/>
      <c r="AJ400" s="429"/>
      <c r="AK400" s="429"/>
      <c r="AL400" s="429"/>
      <c r="AM400" s="429"/>
    </row>
    <row r="401" spans="1:39">
      <c r="A401" s="50"/>
      <c r="B401" s="52" t="s">
        <v>83</v>
      </c>
      <c r="C401" s="53" t="s">
        <v>25</v>
      </c>
      <c r="D401" s="55" t="s">
        <v>26</v>
      </c>
      <c r="E401" s="53"/>
      <c r="F401" s="635" t="s">
        <v>1383</v>
      </c>
      <c r="G401" s="57" t="s">
        <v>28</v>
      </c>
      <c r="H401" s="58">
        <v>2900000</v>
      </c>
      <c r="I401" s="59"/>
      <c r="J401" s="60" t="s">
        <v>4106</v>
      </c>
      <c r="K401" s="61"/>
      <c r="L401" s="62"/>
      <c r="M401" s="64"/>
      <c r="N401" s="65"/>
      <c r="O401" s="65"/>
      <c r="P401" s="65"/>
      <c r="Q401" s="65"/>
      <c r="R401" s="65"/>
      <c r="S401" s="65"/>
      <c r="T401" s="67"/>
      <c r="U401" s="67"/>
      <c r="V401" s="68" t="s">
        <v>4107</v>
      </c>
      <c r="W401" s="69" t="e">
        <v>#REF!</v>
      </c>
      <c r="X401" s="70"/>
      <c r="Y401" s="70"/>
      <c r="Z401" s="70"/>
      <c r="AA401" s="429"/>
      <c r="AB401" s="429"/>
      <c r="AC401" s="429"/>
      <c r="AD401" s="429"/>
      <c r="AE401" s="429"/>
      <c r="AF401" s="429"/>
      <c r="AG401" s="429"/>
      <c r="AH401" s="429"/>
      <c r="AI401" s="429"/>
      <c r="AJ401" s="429"/>
      <c r="AK401" s="429"/>
      <c r="AL401" s="429"/>
      <c r="AM401" s="429"/>
    </row>
    <row r="402" spans="1:39">
      <c r="A402" s="50"/>
      <c r="B402" s="52" t="s">
        <v>274</v>
      </c>
      <c r="C402" s="53" t="s">
        <v>25</v>
      </c>
      <c r="D402" s="55" t="s">
        <v>26</v>
      </c>
      <c r="E402" s="53"/>
      <c r="F402" s="635" t="s">
        <v>1384</v>
      </c>
      <c r="G402" s="57" t="s">
        <v>28</v>
      </c>
      <c r="H402" s="58">
        <v>950000</v>
      </c>
      <c r="I402" s="59"/>
      <c r="J402" s="60" t="s">
        <v>4106</v>
      </c>
      <c r="K402" s="61"/>
      <c r="L402" s="62"/>
      <c r="M402" s="64"/>
      <c r="N402" s="65"/>
      <c r="O402" s="65"/>
      <c r="P402" s="65"/>
      <c r="Q402" s="65"/>
      <c r="R402" s="65"/>
      <c r="S402" s="65"/>
      <c r="T402" s="67"/>
      <c r="U402" s="67"/>
      <c r="V402" s="68" t="s">
        <v>4107</v>
      </c>
      <c r="W402" s="69" t="e">
        <v>#REF!</v>
      </c>
      <c r="X402" s="70"/>
      <c r="Y402" s="70"/>
      <c r="Z402" s="70"/>
      <c r="AA402" s="429"/>
      <c r="AB402" s="429"/>
      <c r="AC402" s="429"/>
      <c r="AD402" s="429"/>
      <c r="AE402" s="429"/>
      <c r="AF402" s="429"/>
      <c r="AG402" s="429"/>
      <c r="AH402" s="429"/>
      <c r="AI402" s="429"/>
      <c r="AJ402" s="429"/>
      <c r="AK402" s="429"/>
      <c r="AL402" s="429"/>
      <c r="AM402" s="429"/>
    </row>
    <row r="403" spans="1:39">
      <c r="A403" s="50"/>
      <c r="B403" s="52" t="s">
        <v>276</v>
      </c>
      <c r="C403" s="53" t="s">
        <v>25</v>
      </c>
      <c r="D403" s="55" t="s">
        <v>26</v>
      </c>
      <c r="E403" s="53"/>
      <c r="F403" s="635" t="s">
        <v>1385</v>
      </c>
      <c r="G403" s="57" t="s">
        <v>28</v>
      </c>
      <c r="H403" s="58">
        <v>2119000</v>
      </c>
      <c r="I403" s="59"/>
      <c r="J403" s="60" t="s">
        <v>4106</v>
      </c>
      <c r="K403" s="61"/>
      <c r="L403" s="62"/>
      <c r="M403" s="64"/>
      <c r="N403" s="65"/>
      <c r="O403" s="65"/>
      <c r="P403" s="65"/>
      <c r="Q403" s="65"/>
      <c r="R403" s="65"/>
      <c r="S403" s="65"/>
      <c r="T403" s="67"/>
      <c r="U403" s="67"/>
      <c r="V403" s="68" t="s">
        <v>4107</v>
      </c>
      <c r="W403" s="69" t="e">
        <v>#REF!</v>
      </c>
      <c r="X403" s="70"/>
      <c r="Y403" s="70"/>
      <c r="Z403" s="70"/>
      <c r="AA403" s="429"/>
      <c r="AB403" s="429"/>
      <c r="AC403" s="429"/>
      <c r="AD403" s="429"/>
      <c r="AE403" s="429"/>
      <c r="AF403" s="429"/>
      <c r="AG403" s="429"/>
      <c r="AH403" s="429"/>
      <c r="AI403" s="429"/>
      <c r="AJ403" s="429"/>
      <c r="AK403" s="429"/>
      <c r="AL403" s="429"/>
      <c r="AM403" s="429"/>
    </row>
    <row r="404" spans="1:39">
      <c r="A404" s="50"/>
      <c r="B404" s="52" t="s">
        <v>280</v>
      </c>
      <c r="C404" s="53" t="s">
        <v>25</v>
      </c>
      <c r="D404" s="55" t="s">
        <v>26</v>
      </c>
      <c r="E404" s="53"/>
      <c r="F404" s="635" t="s">
        <v>1386</v>
      </c>
      <c r="G404" s="57" t="s">
        <v>28</v>
      </c>
      <c r="H404" s="58">
        <v>2400000</v>
      </c>
      <c r="I404" s="59"/>
      <c r="J404" s="60" t="s">
        <v>4106</v>
      </c>
      <c r="K404" s="61"/>
      <c r="L404" s="62"/>
      <c r="M404" s="64"/>
      <c r="N404" s="65"/>
      <c r="O404" s="65"/>
      <c r="P404" s="65"/>
      <c r="Q404" s="65"/>
      <c r="R404" s="65"/>
      <c r="S404" s="65"/>
      <c r="T404" s="67"/>
      <c r="U404" s="67"/>
      <c r="V404" s="68" t="s">
        <v>4107</v>
      </c>
      <c r="W404" s="69" t="e">
        <v>#REF!</v>
      </c>
      <c r="X404" s="70"/>
      <c r="Y404" s="70"/>
      <c r="Z404" s="70"/>
      <c r="AA404" s="429"/>
      <c r="AB404" s="429"/>
      <c r="AC404" s="429"/>
      <c r="AD404" s="429"/>
      <c r="AE404" s="429"/>
      <c r="AF404" s="429"/>
      <c r="AG404" s="429"/>
      <c r="AH404" s="429"/>
      <c r="AI404" s="429"/>
      <c r="AJ404" s="429"/>
      <c r="AK404" s="429"/>
      <c r="AL404" s="429"/>
      <c r="AM404" s="429"/>
    </row>
    <row r="405" spans="1:39">
      <c r="A405" s="50"/>
      <c r="B405" s="52" t="s">
        <v>282</v>
      </c>
      <c r="C405" s="53" t="s">
        <v>25</v>
      </c>
      <c r="D405" s="55" t="s">
        <v>26</v>
      </c>
      <c r="E405" s="53"/>
      <c r="F405" s="635" t="s">
        <v>1387</v>
      </c>
      <c r="G405" s="57" t="s">
        <v>28</v>
      </c>
      <c r="H405" s="58">
        <v>398000</v>
      </c>
      <c r="I405" s="59"/>
      <c r="J405" s="60" t="s">
        <v>4106</v>
      </c>
      <c r="K405" s="61"/>
      <c r="L405" s="62"/>
      <c r="M405" s="64"/>
      <c r="N405" s="65"/>
      <c r="O405" s="65"/>
      <c r="P405" s="65"/>
      <c r="Q405" s="65"/>
      <c r="R405" s="65"/>
      <c r="S405" s="65"/>
      <c r="T405" s="67"/>
      <c r="U405" s="67"/>
      <c r="V405" s="68" t="s">
        <v>4107</v>
      </c>
      <c r="W405" s="69" t="e">
        <v>#REF!</v>
      </c>
      <c r="X405" s="70"/>
      <c r="Y405" s="70"/>
      <c r="Z405" s="70"/>
      <c r="AA405" s="429"/>
      <c r="AB405" s="429"/>
      <c r="AC405" s="429"/>
      <c r="AD405" s="429"/>
      <c r="AE405" s="429"/>
      <c r="AF405" s="429"/>
      <c r="AG405" s="429"/>
      <c r="AH405" s="429"/>
      <c r="AI405" s="429"/>
      <c r="AJ405" s="429"/>
      <c r="AK405" s="429"/>
      <c r="AL405" s="429"/>
      <c r="AM405" s="429"/>
    </row>
    <row r="406" spans="1:39">
      <c r="A406" s="50"/>
      <c r="B406" s="52" t="s">
        <v>286</v>
      </c>
      <c r="C406" s="53" t="s">
        <v>25</v>
      </c>
      <c r="D406" s="55" t="s">
        <v>26</v>
      </c>
      <c r="E406" s="53"/>
      <c r="F406" s="635" t="s">
        <v>1388</v>
      </c>
      <c r="G406" s="57" t="s">
        <v>28</v>
      </c>
      <c r="H406" s="58">
        <v>590000</v>
      </c>
      <c r="I406" s="59"/>
      <c r="J406" s="60" t="s">
        <v>4106</v>
      </c>
      <c r="K406" s="61"/>
      <c r="L406" s="62"/>
      <c r="M406" s="64"/>
      <c r="N406" s="65"/>
      <c r="O406" s="65"/>
      <c r="P406" s="65"/>
      <c r="Q406" s="65"/>
      <c r="R406" s="65"/>
      <c r="S406" s="65"/>
      <c r="T406" s="67"/>
      <c r="U406" s="67"/>
      <c r="V406" s="68" t="s">
        <v>4107</v>
      </c>
      <c r="W406" s="69" t="e">
        <v>#REF!</v>
      </c>
      <c r="X406" s="70"/>
      <c r="Y406" s="70"/>
      <c r="Z406" s="70"/>
      <c r="AA406" s="429"/>
      <c r="AB406" s="429"/>
      <c r="AC406" s="429"/>
      <c r="AD406" s="429"/>
      <c r="AE406" s="429"/>
      <c r="AF406" s="429"/>
      <c r="AG406" s="429"/>
      <c r="AH406" s="429"/>
      <c r="AI406" s="429"/>
      <c r="AJ406" s="429"/>
      <c r="AK406" s="429"/>
      <c r="AL406" s="429"/>
      <c r="AM406" s="429"/>
    </row>
    <row r="407" spans="1:39">
      <c r="A407" s="50"/>
      <c r="B407" s="52" t="s">
        <v>288</v>
      </c>
      <c r="C407" s="53" t="s">
        <v>25</v>
      </c>
      <c r="D407" s="55" t="s">
        <v>26</v>
      </c>
      <c r="E407" s="53"/>
      <c r="F407" s="635" t="s">
        <v>1389</v>
      </c>
      <c r="G407" s="57" t="s">
        <v>28</v>
      </c>
      <c r="H407" s="58">
        <v>1100000</v>
      </c>
      <c r="I407" s="59"/>
      <c r="J407" s="60" t="s">
        <v>4106</v>
      </c>
      <c r="K407" s="61"/>
      <c r="L407" s="62"/>
      <c r="M407" s="64"/>
      <c r="N407" s="65"/>
      <c r="O407" s="65"/>
      <c r="P407" s="65"/>
      <c r="Q407" s="65"/>
      <c r="R407" s="65"/>
      <c r="S407" s="65"/>
      <c r="T407" s="67"/>
      <c r="U407" s="67"/>
      <c r="V407" s="68" t="s">
        <v>4107</v>
      </c>
      <c r="W407" s="69" t="e">
        <v>#REF!</v>
      </c>
      <c r="X407" s="70"/>
      <c r="Y407" s="70"/>
      <c r="Z407" s="70"/>
      <c r="AA407" s="429"/>
      <c r="AB407" s="429"/>
      <c r="AC407" s="429"/>
      <c r="AD407" s="429"/>
      <c r="AE407" s="429"/>
      <c r="AF407" s="429"/>
      <c r="AG407" s="429"/>
      <c r="AH407" s="429"/>
      <c r="AI407" s="429"/>
      <c r="AJ407" s="429"/>
      <c r="AK407" s="429"/>
      <c r="AL407" s="429"/>
      <c r="AM407" s="429"/>
    </row>
    <row r="408" spans="1:39">
      <c r="A408" s="50"/>
      <c r="B408" s="52" t="s">
        <v>46</v>
      </c>
      <c r="C408" s="53" t="s">
        <v>25</v>
      </c>
      <c r="D408" s="55" t="s">
        <v>26</v>
      </c>
      <c r="E408" s="53"/>
      <c r="F408" s="635" t="s">
        <v>1390</v>
      </c>
      <c r="G408" s="57" t="s">
        <v>53</v>
      </c>
      <c r="H408" s="58">
        <v>8500</v>
      </c>
      <c r="I408" s="59"/>
      <c r="J408" s="60" t="s">
        <v>4106</v>
      </c>
      <c r="K408" s="61"/>
      <c r="L408" s="62"/>
      <c r="M408" s="64"/>
      <c r="N408" s="65"/>
      <c r="O408" s="65"/>
      <c r="P408" s="65"/>
      <c r="Q408" s="65"/>
      <c r="R408" s="65"/>
      <c r="S408" s="65"/>
      <c r="T408" s="67"/>
      <c r="U408" s="67"/>
      <c r="V408" s="68" t="s">
        <v>4107</v>
      </c>
      <c r="W408" s="69" t="e">
        <v>#REF!</v>
      </c>
      <c r="X408" s="70"/>
      <c r="Y408" s="70"/>
      <c r="Z408" s="70"/>
      <c r="AA408" s="429"/>
      <c r="AB408" s="429"/>
      <c r="AC408" s="429"/>
      <c r="AD408" s="429"/>
      <c r="AE408" s="429"/>
      <c r="AF408" s="429"/>
      <c r="AG408" s="429"/>
      <c r="AH408" s="429"/>
      <c r="AI408" s="429"/>
      <c r="AJ408" s="429"/>
      <c r="AK408" s="429"/>
      <c r="AL408" s="429"/>
      <c r="AM408" s="429"/>
    </row>
    <row r="409" spans="1:39">
      <c r="A409" s="50"/>
      <c r="B409" s="52" t="s">
        <v>49</v>
      </c>
      <c r="C409" s="53" t="s">
        <v>25</v>
      </c>
      <c r="D409" s="55" t="s">
        <v>26</v>
      </c>
      <c r="E409" s="53"/>
      <c r="F409" s="635" t="s">
        <v>1391</v>
      </c>
      <c r="G409" s="57" t="s">
        <v>53</v>
      </c>
      <c r="H409" s="58">
        <v>12000</v>
      </c>
      <c r="I409" s="59"/>
      <c r="J409" s="60" t="s">
        <v>4106</v>
      </c>
      <c r="K409" s="61"/>
      <c r="L409" s="62"/>
      <c r="M409" s="64"/>
      <c r="N409" s="65"/>
      <c r="O409" s="65"/>
      <c r="P409" s="65"/>
      <c r="Q409" s="65"/>
      <c r="R409" s="65"/>
      <c r="S409" s="65"/>
      <c r="T409" s="67"/>
      <c r="U409" s="67"/>
      <c r="V409" s="68" t="s">
        <v>4107</v>
      </c>
      <c r="W409" s="69" t="e">
        <v>#REF!</v>
      </c>
      <c r="X409" s="70"/>
      <c r="Y409" s="70"/>
      <c r="Z409" s="70"/>
      <c r="AA409" s="429"/>
      <c r="AB409" s="429"/>
      <c r="AC409" s="429"/>
      <c r="AD409" s="429"/>
      <c r="AE409" s="429"/>
      <c r="AF409" s="429"/>
      <c r="AG409" s="429"/>
      <c r="AH409" s="429"/>
      <c r="AI409" s="429"/>
      <c r="AJ409" s="429"/>
      <c r="AK409" s="429"/>
      <c r="AL409" s="429"/>
      <c r="AM409" s="429"/>
    </row>
    <row r="410" spans="1:39">
      <c r="A410" s="50"/>
      <c r="B410" s="52" t="s">
        <v>469</v>
      </c>
      <c r="C410" s="53" t="s">
        <v>25</v>
      </c>
      <c r="D410" s="55" t="s">
        <v>26</v>
      </c>
      <c r="E410" s="53"/>
      <c r="F410" s="635" t="s">
        <v>1392</v>
      </c>
      <c r="G410" s="57" t="s">
        <v>53</v>
      </c>
      <c r="H410" s="58">
        <v>17000</v>
      </c>
      <c r="I410" s="59"/>
      <c r="J410" s="60" t="s">
        <v>4106</v>
      </c>
      <c r="K410" s="61"/>
      <c r="L410" s="62"/>
      <c r="M410" s="64"/>
      <c r="N410" s="65"/>
      <c r="O410" s="65"/>
      <c r="P410" s="65"/>
      <c r="Q410" s="65"/>
      <c r="R410" s="65"/>
      <c r="S410" s="65"/>
      <c r="T410" s="67"/>
      <c r="U410" s="67"/>
      <c r="V410" s="68" t="s">
        <v>4107</v>
      </c>
      <c r="W410" s="69" t="e">
        <v>#REF!</v>
      </c>
      <c r="X410" s="70"/>
      <c r="Y410" s="70"/>
      <c r="Z410" s="70"/>
      <c r="AA410" s="429"/>
      <c r="AB410" s="429"/>
      <c r="AC410" s="429"/>
      <c r="AD410" s="429"/>
      <c r="AE410" s="429"/>
      <c r="AF410" s="429"/>
      <c r="AG410" s="429"/>
      <c r="AH410" s="429"/>
      <c r="AI410" s="429"/>
      <c r="AJ410" s="429"/>
      <c r="AK410" s="429"/>
      <c r="AL410" s="429"/>
      <c r="AM410" s="429"/>
    </row>
    <row r="411" spans="1:39">
      <c r="A411" s="50"/>
      <c r="B411" s="52" t="s">
        <v>472</v>
      </c>
      <c r="C411" s="53" t="s">
        <v>25</v>
      </c>
      <c r="D411" s="55" t="s">
        <v>26</v>
      </c>
      <c r="E411" s="53"/>
      <c r="F411" s="635" t="s">
        <v>1393</v>
      </c>
      <c r="G411" s="57" t="s">
        <v>78</v>
      </c>
      <c r="H411" s="58">
        <v>5600</v>
      </c>
      <c r="I411" s="59"/>
      <c r="J411" s="60" t="s">
        <v>4106</v>
      </c>
      <c r="K411" s="61"/>
      <c r="L411" s="62"/>
      <c r="M411" s="64"/>
      <c r="N411" s="65"/>
      <c r="O411" s="65"/>
      <c r="P411" s="65"/>
      <c r="Q411" s="65"/>
      <c r="R411" s="65"/>
      <c r="S411" s="65"/>
      <c r="T411" s="67"/>
      <c r="U411" s="67"/>
      <c r="V411" s="68" t="s">
        <v>4107</v>
      </c>
      <c r="W411" s="69" t="e">
        <v>#REF!</v>
      </c>
      <c r="X411" s="70"/>
      <c r="Y411" s="70"/>
      <c r="Z411" s="70"/>
      <c r="AA411" s="429"/>
      <c r="AB411" s="429"/>
      <c r="AC411" s="429"/>
      <c r="AD411" s="429"/>
      <c r="AE411" s="429"/>
      <c r="AF411" s="429"/>
      <c r="AG411" s="429"/>
      <c r="AH411" s="429"/>
      <c r="AI411" s="429"/>
      <c r="AJ411" s="429"/>
      <c r="AK411" s="429"/>
      <c r="AL411" s="429"/>
      <c r="AM411" s="429"/>
    </row>
    <row r="412" spans="1:39">
      <c r="A412" s="50"/>
      <c r="B412" s="52" t="s">
        <v>475</v>
      </c>
      <c r="C412" s="53" t="s">
        <v>25</v>
      </c>
      <c r="D412" s="55" t="s">
        <v>26</v>
      </c>
      <c r="E412" s="53"/>
      <c r="F412" s="635" t="s">
        <v>1394</v>
      </c>
      <c r="G412" s="57" t="s">
        <v>78</v>
      </c>
      <c r="H412" s="58">
        <v>6900</v>
      </c>
      <c r="I412" s="59"/>
      <c r="J412" s="60" t="s">
        <v>4106</v>
      </c>
      <c r="K412" s="61"/>
      <c r="L412" s="62"/>
      <c r="M412" s="64"/>
      <c r="N412" s="65"/>
      <c r="O412" s="65"/>
      <c r="P412" s="65"/>
      <c r="Q412" s="65"/>
      <c r="R412" s="65"/>
      <c r="S412" s="65"/>
      <c r="T412" s="67"/>
      <c r="U412" s="67"/>
      <c r="V412" s="68" t="s">
        <v>4107</v>
      </c>
      <c r="W412" s="69" t="e">
        <v>#REF!</v>
      </c>
      <c r="X412" s="70"/>
      <c r="Y412" s="70"/>
      <c r="Z412" s="70"/>
      <c r="AA412" s="429"/>
      <c r="AB412" s="429"/>
      <c r="AC412" s="429"/>
      <c r="AD412" s="429"/>
      <c r="AE412" s="429"/>
      <c r="AF412" s="429"/>
      <c r="AG412" s="429"/>
      <c r="AH412" s="429"/>
      <c r="AI412" s="429"/>
      <c r="AJ412" s="429"/>
      <c r="AK412" s="429"/>
      <c r="AL412" s="429"/>
      <c r="AM412" s="429"/>
    </row>
    <row r="413" spans="1:39">
      <c r="A413" s="50"/>
      <c r="B413" s="636" t="s">
        <v>1395</v>
      </c>
      <c r="C413" s="637" t="s">
        <v>1396</v>
      </c>
      <c r="D413" s="55" t="s">
        <v>26</v>
      </c>
      <c r="E413" s="53"/>
      <c r="F413" s="635" t="s">
        <v>4195</v>
      </c>
      <c r="G413" s="57" t="s">
        <v>78</v>
      </c>
      <c r="H413" s="58">
        <v>11000</v>
      </c>
      <c r="I413" s="59"/>
      <c r="J413" s="60" t="s">
        <v>4106</v>
      </c>
      <c r="K413" s="61"/>
      <c r="L413" s="62"/>
      <c r="M413" s="64"/>
      <c r="N413" s="65"/>
      <c r="O413" s="65"/>
      <c r="P413" s="65"/>
      <c r="Q413" s="65"/>
      <c r="R413" s="65"/>
      <c r="S413" s="65"/>
      <c r="T413" s="67"/>
      <c r="U413" s="67"/>
      <c r="V413" s="68" t="s">
        <v>4108</v>
      </c>
      <c r="W413" s="69" t="e">
        <v>#REF!</v>
      </c>
      <c r="X413" s="70"/>
      <c r="Y413" s="70"/>
      <c r="Z413" s="70"/>
      <c r="AA413" s="429"/>
      <c r="AB413" s="429"/>
      <c r="AC413" s="429"/>
      <c r="AD413" s="429"/>
      <c r="AE413" s="429"/>
      <c r="AF413" s="429"/>
      <c r="AG413" s="429"/>
      <c r="AH413" s="429"/>
      <c r="AI413" s="429"/>
      <c r="AJ413" s="429"/>
      <c r="AK413" s="429"/>
      <c r="AL413" s="429"/>
      <c r="AM413" s="429"/>
    </row>
    <row r="414" spans="1:39">
      <c r="A414" s="50"/>
      <c r="B414" s="636" t="s">
        <v>1398</v>
      </c>
      <c r="C414" s="637" t="s">
        <v>1396</v>
      </c>
      <c r="D414" s="55" t="s">
        <v>26</v>
      </c>
      <c r="E414" s="53"/>
      <c r="F414" s="635" t="s">
        <v>4196</v>
      </c>
      <c r="G414" s="57" t="s">
        <v>78</v>
      </c>
      <c r="H414" s="58">
        <v>17500</v>
      </c>
      <c r="I414" s="59"/>
      <c r="J414" s="60" t="s">
        <v>4106</v>
      </c>
      <c r="K414" s="61"/>
      <c r="L414" s="62"/>
      <c r="M414" s="64"/>
      <c r="N414" s="65"/>
      <c r="O414" s="65"/>
      <c r="P414" s="65"/>
      <c r="Q414" s="65"/>
      <c r="R414" s="65"/>
      <c r="S414" s="65"/>
      <c r="T414" s="67"/>
      <c r="U414" s="67"/>
      <c r="V414" s="68" t="s">
        <v>4108</v>
      </c>
      <c r="W414" s="69" t="e">
        <v>#REF!</v>
      </c>
      <c r="X414" s="70"/>
      <c r="Y414" s="70"/>
      <c r="Z414" s="70"/>
      <c r="AA414" s="429"/>
      <c r="AB414" s="429"/>
      <c r="AC414" s="429"/>
      <c r="AD414" s="429"/>
      <c r="AE414" s="429"/>
      <c r="AF414" s="429"/>
      <c r="AG414" s="429"/>
      <c r="AH414" s="429"/>
      <c r="AI414" s="429"/>
      <c r="AJ414" s="429"/>
      <c r="AK414" s="429"/>
      <c r="AL414" s="429"/>
      <c r="AM414" s="429"/>
    </row>
    <row r="415" spans="1:39" ht="15.75" customHeight="1">
      <c r="A415" s="50"/>
      <c r="B415" s="52" t="s">
        <v>477</v>
      </c>
      <c r="C415" s="53" t="s">
        <v>25</v>
      </c>
      <c r="D415" s="55" t="s">
        <v>26</v>
      </c>
      <c r="E415" s="627"/>
      <c r="F415" s="635" t="s">
        <v>4197</v>
      </c>
      <c r="G415" s="638" t="s">
        <v>78</v>
      </c>
      <c r="H415" s="639">
        <v>9500</v>
      </c>
      <c r="I415" s="627"/>
      <c r="J415" s="60" t="s">
        <v>4214</v>
      </c>
      <c r="K415" s="627"/>
      <c r="L415" s="627"/>
      <c r="M415" s="627"/>
      <c r="N415" s="627"/>
      <c r="O415" s="627"/>
      <c r="P415" s="627"/>
      <c r="Q415" s="627"/>
      <c r="R415" s="627"/>
      <c r="S415" s="627"/>
      <c r="T415" s="627"/>
      <c r="U415" s="627"/>
      <c r="V415" s="627"/>
      <c r="W415" s="627"/>
      <c r="X415" s="627"/>
      <c r="Y415" s="627"/>
      <c r="Z415" s="627"/>
    </row>
    <row r="416" spans="1:39" ht="15.75" customHeight="1">
      <c r="A416" s="50"/>
      <c r="B416" s="52" t="s">
        <v>483</v>
      </c>
      <c r="C416" s="53" t="s">
        <v>25</v>
      </c>
      <c r="D416" s="55" t="s">
        <v>26</v>
      </c>
      <c r="E416" s="627"/>
      <c r="F416" s="635" t="s">
        <v>3694</v>
      </c>
      <c r="G416" s="638" t="s">
        <v>78</v>
      </c>
      <c r="H416" s="639">
        <v>10900</v>
      </c>
      <c r="I416" s="627"/>
      <c r="J416" s="60" t="s">
        <v>4215</v>
      </c>
      <c r="K416" s="627"/>
      <c r="L416" s="627"/>
      <c r="M416" s="627"/>
      <c r="N416" s="627"/>
      <c r="O416" s="627"/>
      <c r="P416" s="627"/>
      <c r="Q416" s="627"/>
      <c r="R416" s="627"/>
      <c r="S416" s="627"/>
      <c r="T416" s="627"/>
      <c r="U416" s="627"/>
      <c r="V416" s="627"/>
      <c r="W416" s="627"/>
      <c r="X416" s="627"/>
      <c r="Y416" s="627"/>
      <c r="Z416" s="627"/>
    </row>
    <row r="417" spans="1:26" ht="15.75" customHeight="1">
      <c r="A417" s="50"/>
      <c r="B417" s="52" t="s">
        <v>487</v>
      </c>
      <c r="C417" s="53" t="s">
        <v>25</v>
      </c>
      <c r="D417" s="55" t="s">
        <v>26</v>
      </c>
      <c r="E417" s="627"/>
      <c r="F417" s="635" t="s">
        <v>3695</v>
      </c>
      <c r="G417" s="638" t="s">
        <v>78</v>
      </c>
      <c r="H417" s="639">
        <v>13000</v>
      </c>
      <c r="I417" s="627"/>
      <c r="J417" s="60" t="s">
        <v>4216</v>
      </c>
      <c r="K417" s="627"/>
      <c r="L417" s="627"/>
      <c r="M417" s="627"/>
      <c r="N417" s="627"/>
      <c r="O417" s="627"/>
      <c r="P417" s="627"/>
      <c r="Q417" s="627"/>
      <c r="R417" s="627"/>
      <c r="S417" s="627"/>
      <c r="T417" s="627"/>
      <c r="U417" s="627"/>
      <c r="V417" s="627"/>
      <c r="W417" s="627"/>
      <c r="X417" s="627"/>
      <c r="Y417" s="627"/>
      <c r="Z417" s="627"/>
    </row>
    <row r="418" spans="1:26" ht="15.75" customHeight="1">
      <c r="A418" s="50"/>
      <c r="B418" s="52" t="s">
        <v>454</v>
      </c>
      <c r="C418" s="53" t="s">
        <v>25</v>
      </c>
      <c r="D418" s="55" t="s">
        <v>26</v>
      </c>
      <c r="E418" s="627"/>
      <c r="F418" s="635" t="s">
        <v>3696</v>
      </c>
      <c r="G418" s="638" t="s">
        <v>78</v>
      </c>
      <c r="H418" s="639">
        <v>12000</v>
      </c>
      <c r="I418" s="627"/>
      <c r="J418" s="60" t="s">
        <v>4217</v>
      </c>
      <c r="K418" s="627"/>
      <c r="L418" s="627"/>
      <c r="M418" s="627"/>
      <c r="N418" s="627"/>
      <c r="O418" s="627"/>
      <c r="P418" s="627"/>
      <c r="Q418" s="627"/>
      <c r="R418" s="627"/>
      <c r="S418" s="627"/>
      <c r="T418" s="627"/>
      <c r="U418" s="627"/>
      <c r="V418" s="627"/>
      <c r="W418" s="627"/>
      <c r="X418" s="627"/>
      <c r="Y418" s="627"/>
      <c r="Z418" s="627"/>
    </row>
    <row r="419" spans="1:26" ht="15.75" customHeight="1">
      <c r="A419" s="50"/>
      <c r="B419" s="52" t="s">
        <v>456</v>
      </c>
      <c r="C419" s="53" t="s">
        <v>25</v>
      </c>
      <c r="D419" s="55" t="s">
        <v>26</v>
      </c>
      <c r="E419" s="627"/>
      <c r="F419" s="635" t="s">
        <v>3697</v>
      </c>
      <c r="G419" s="638" t="s">
        <v>78</v>
      </c>
      <c r="H419" s="639">
        <v>182000</v>
      </c>
      <c r="I419" s="627"/>
      <c r="J419" s="60" t="s">
        <v>4218</v>
      </c>
      <c r="K419" s="627"/>
      <c r="L419" s="627"/>
      <c r="M419" s="627"/>
      <c r="N419" s="627"/>
      <c r="O419" s="627"/>
      <c r="P419" s="627"/>
      <c r="Q419" s="627"/>
      <c r="R419" s="627"/>
      <c r="S419" s="627"/>
      <c r="T419" s="627"/>
      <c r="U419" s="627"/>
      <c r="V419" s="627"/>
      <c r="W419" s="627"/>
      <c r="X419" s="627"/>
      <c r="Y419" s="627"/>
      <c r="Z419" s="627"/>
    </row>
    <row r="420" spans="1:26" ht="15.75" customHeight="1">
      <c r="A420" s="50"/>
      <c r="B420" s="52" t="s">
        <v>461</v>
      </c>
      <c r="C420" s="53" t="s">
        <v>25</v>
      </c>
      <c r="D420" s="55" t="s">
        <v>26</v>
      </c>
      <c r="E420" s="627"/>
      <c r="F420" s="635" t="s">
        <v>4198</v>
      </c>
      <c r="G420" s="638" t="s">
        <v>433</v>
      </c>
      <c r="H420" s="639">
        <v>5200</v>
      </c>
      <c r="I420" s="627"/>
      <c r="J420" s="60" t="s">
        <v>4219</v>
      </c>
      <c r="K420" s="627"/>
      <c r="L420" s="627"/>
      <c r="M420" s="627"/>
      <c r="N420" s="627"/>
      <c r="O420" s="627"/>
      <c r="P420" s="627"/>
      <c r="Q420" s="627"/>
      <c r="R420" s="627"/>
      <c r="S420" s="627"/>
      <c r="T420" s="627"/>
      <c r="U420" s="627"/>
      <c r="V420" s="627"/>
      <c r="W420" s="627"/>
      <c r="X420" s="627"/>
      <c r="Y420" s="627"/>
      <c r="Z420" s="627"/>
    </row>
    <row r="421" spans="1:26" ht="15.75" customHeight="1">
      <c r="A421" s="50"/>
      <c r="B421" s="52" t="s">
        <v>464</v>
      </c>
      <c r="C421" s="53" t="s">
        <v>25</v>
      </c>
      <c r="D421" s="55" t="s">
        <v>26</v>
      </c>
      <c r="E421" s="627"/>
      <c r="F421" s="635" t="s">
        <v>4199</v>
      </c>
      <c r="G421" s="638" t="s">
        <v>433</v>
      </c>
      <c r="H421" s="639">
        <v>6400</v>
      </c>
      <c r="I421" s="627"/>
      <c r="J421" s="60" t="s">
        <v>4220</v>
      </c>
      <c r="K421" s="627"/>
      <c r="L421" s="627"/>
      <c r="M421" s="627"/>
      <c r="N421" s="627"/>
      <c r="O421" s="627"/>
      <c r="P421" s="627"/>
      <c r="Q421" s="627"/>
      <c r="R421" s="627"/>
      <c r="S421" s="627"/>
      <c r="T421" s="627"/>
      <c r="U421" s="627"/>
      <c r="V421" s="627"/>
      <c r="W421" s="627"/>
      <c r="X421" s="627"/>
      <c r="Y421" s="627"/>
      <c r="Z421" s="627"/>
    </row>
    <row r="422" spans="1:26" ht="15.75" customHeight="1">
      <c r="A422" s="50"/>
      <c r="B422" s="52" t="s">
        <v>373</v>
      </c>
      <c r="C422" s="53" t="s">
        <v>25</v>
      </c>
      <c r="D422" s="55" t="s">
        <v>26</v>
      </c>
      <c r="E422" s="627"/>
      <c r="F422" s="635" t="s">
        <v>4200</v>
      </c>
      <c r="G422" s="638" t="s">
        <v>433</v>
      </c>
      <c r="H422" s="639">
        <v>8300</v>
      </c>
      <c r="I422" s="627"/>
      <c r="J422" s="60" t="s">
        <v>4221</v>
      </c>
      <c r="K422" s="627"/>
      <c r="L422" s="627"/>
      <c r="M422" s="627"/>
      <c r="N422" s="627"/>
      <c r="O422" s="627"/>
      <c r="P422" s="627"/>
      <c r="Q422" s="627"/>
      <c r="R422" s="627"/>
      <c r="S422" s="627"/>
      <c r="T422" s="627"/>
      <c r="U422" s="627"/>
      <c r="V422" s="627"/>
      <c r="W422" s="627"/>
      <c r="X422" s="627"/>
      <c r="Y422" s="627"/>
      <c r="Z422" s="627"/>
    </row>
    <row r="423" spans="1:26" ht="15.75" customHeight="1">
      <c r="A423" s="50"/>
      <c r="B423" s="52" t="s">
        <v>377</v>
      </c>
      <c r="C423" s="53" t="s">
        <v>25</v>
      </c>
      <c r="D423" s="55" t="s">
        <v>26</v>
      </c>
      <c r="E423" s="627"/>
      <c r="F423" s="635" t="s">
        <v>4201</v>
      </c>
      <c r="G423" s="638" t="s">
        <v>433</v>
      </c>
      <c r="H423" s="639">
        <v>9300</v>
      </c>
      <c r="I423" s="627"/>
      <c r="J423" s="60" t="s">
        <v>4222</v>
      </c>
      <c r="K423" s="627"/>
      <c r="L423" s="627"/>
      <c r="M423" s="627"/>
      <c r="N423" s="627"/>
      <c r="O423" s="627"/>
      <c r="P423" s="627"/>
      <c r="Q423" s="627"/>
      <c r="R423" s="627"/>
      <c r="S423" s="627"/>
      <c r="T423" s="627"/>
      <c r="U423" s="627"/>
      <c r="V423" s="627"/>
      <c r="W423" s="627"/>
      <c r="X423" s="627"/>
      <c r="Y423" s="627"/>
      <c r="Z423" s="627"/>
    </row>
    <row r="424" spans="1:26" ht="15.75" customHeight="1">
      <c r="A424" s="50"/>
      <c r="B424" s="52" t="s">
        <v>380</v>
      </c>
      <c r="C424" s="53" t="s">
        <v>25</v>
      </c>
      <c r="D424" s="55" t="s">
        <v>26</v>
      </c>
      <c r="E424" s="627"/>
      <c r="F424" s="635" t="s">
        <v>4202</v>
      </c>
      <c r="G424" s="638" t="s">
        <v>433</v>
      </c>
      <c r="H424" s="639">
        <v>6400</v>
      </c>
      <c r="I424" s="627"/>
      <c r="J424" s="60" t="s">
        <v>4223</v>
      </c>
      <c r="K424" s="627"/>
      <c r="L424" s="627"/>
      <c r="M424" s="627"/>
      <c r="N424" s="627"/>
      <c r="O424" s="627"/>
      <c r="P424" s="627"/>
      <c r="Q424" s="627"/>
      <c r="R424" s="627"/>
      <c r="S424" s="627"/>
      <c r="T424" s="627"/>
      <c r="U424" s="627"/>
      <c r="V424" s="627"/>
      <c r="W424" s="627"/>
      <c r="X424" s="627"/>
      <c r="Y424" s="627"/>
      <c r="Z424" s="627"/>
    </row>
    <row r="425" spans="1:26" ht="15.75" customHeight="1">
      <c r="A425" s="50"/>
      <c r="B425" s="52" t="s">
        <v>368</v>
      </c>
      <c r="C425" s="53" t="s">
        <v>25</v>
      </c>
      <c r="D425" s="55" t="s">
        <v>26</v>
      </c>
      <c r="E425" s="627"/>
      <c r="F425" s="635" t="s">
        <v>4203</v>
      </c>
      <c r="G425" s="638" t="s">
        <v>433</v>
      </c>
      <c r="H425" s="639">
        <v>8700</v>
      </c>
      <c r="I425" s="627"/>
      <c r="J425" s="60" t="s">
        <v>4224</v>
      </c>
      <c r="K425" s="627"/>
      <c r="L425" s="627"/>
      <c r="M425" s="627"/>
      <c r="N425" s="627"/>
      <c r="O425" s="627"/>
      <c r="P425" s="627"/>
      <c r="Q425" s="627"/>
      <c r="R425" s="627"/>
      <c r="S425" s="627"/>
      <c r="T425" s="627"/>
      <c r="U425" s="627"/>
      <c r="V425" s="627"/>
      <c r="W425" s="627"/>
      <c r="X425" s="627"/>
      <c r="Y425" s="627"/>
      <c r="Z425" s="627"/>
    </row>
    <row r="426" spans="1:26" ht="15.75" customHeight="1">
      <c r="A426" s="50"/>
      <c r="B426" s="52" t="s">
        <v>370</v>
      </c>
      <c r="C426" s="53" t="s">
        <v>25</v>
      </c>
      <c r="D426" s="55" t="s">
        <v>26</v>
      </c>
      <c r="E426" s="627"/>
      <c r="F426" s="635" t="s">
        <v>4204</v>
      </c>
      <c r="G426" s="638" t="s">
        <v>433</v>
      </c>
      <c r="H426" s="639">
        <v>11300</v>
      </c>
      <c r="I426" s="627"/>
      <c r="J426" s="60" t="s">
        <v>4225</v>
      </c>
      <c r="K426" s="627"/>
      <c r="L426" s="627"/>
      <c r="M426" s="627"/>
      <c r="N426" s="627"/>
      <c r="O426" s="627"/>
      <c r="P426" s="627"/>
      <c r="Q426" s="627"/>
      <c r="R426" s="627"/>
      <c r="S426" s="627"/>
      <c r="T426" s="627"/>
      <c r="U426" s="627"/>
      <c r="V426" s="627"/>
      <c r="W426" s="627"/>
      <c r="X426" s="627"/>
      <c r="Y426" s="627"/>
      <c r="Z426" s="627"/>
    </row>
    <row r="427" spans="1:26" ht="15.75" customHeight="1">
      <c r="A427" s="50"/>
      <c r="B427" s="52" t="s">
        <v>356</v>
      </c>
      <c r="C427" s="53" t="s">
        <v>25</v>
      </c>
      <c r="D427" s="55" t="s">
        <v>26</v>
      </c>
      <c r="E427" s="627"/>
      <c r="F427" s="635" t="s">
        <v>4205</v>
      </c>
      <c r="G427" s="638" t="s">
        <v>433</v>
      </c>
      <c r="H427" s="639">
        <v>15000</v>
      </c>
      <c r="I427" s="627"/>
      <c r="J427" s="60" t="s">
        <v>4226</v>
      </c>
      <c r="K427" s="627"/>
      <c r="L427" s="627"/>
      <c r="M427" s="627"/>
      <c r="N427" s="627"/>
      <c r="O427" s="627"/>
      <c r="P427" s="627"/>
      <c r="Q427" s="627"/>
      <c r="R427" s="627"/>
      <c r="S427" s="627"/>
      <c r="T427" s="627"/>
      <c r="U427" s="627"/>
      <c r="V427" s="627"/>
      <c r="W427" s="627"/>
      <c r="X427" s="627"/>
      <c r="Y427" s="627"/>
      <c r="Z427" s="627"/>
    </row>
    <row r="428" spans="1:26" ht="15.75" customHeight="1">
      <c r="A428" s="50"/>
      <c r="B428" s="52" t="s">
        <v>361</v>
      </c>
      <c r="C428" s="53" t="s">
        <v>25</v>
      </c>
      <c r="D428" s="55" t="s">
        <v>26</v>
      </c>
      <c r="E428" s="627"/>
      <c r="F428" s="635" t="s">
        <v>4206</v>
      </c>
      <c r="G428" s="638" t="s">
        <v>433</v>
      </c>
      <c r="H428" s="639">
        <v>18100</v>
      </c>
      <c r="I428" s="627"/>
      <c r="J428" s="60" t="s">
        <v>4227</v>
      </c>
      <c r="K428" s="627"/>
      <c r="L428" s="627"/>
      <c r="M428" s="627"/>
      <c r="N428" s="627"/>
      <c r="O428" s="627"/>
      <c r="P428" s="627"/>
      <c r="Q428" s="627"/>
      <c r="R428" s="627"/>
      <c r="S428" s="627"/>
      <c r="T428" s="627"/>
      <c r="U428" s="627"/>
      <c r="V428" s="627"/>
      <c r="W428" s="627"/>
      <c r="X428" s="627"/>
      <c r="Y428" s="627"/>
      <c r="Z428" s="627"/>
    </row>
    <row r="429" spans="1:26" ht="15.75" customHeight="1">
      <c r="A429" s="50"/>
      <c r="B429" s="52" t="s">
        <v>363</v>
      </c>
      <c r="C429" s="53" t="s">
        <v>25</v>
      </c>
      <c r="D429" s="55" t="s">
        <v>26</v>
      </c>
      <c r="E429" s="627"/>
      <c r="F429" s="635" t="s">
        <v>253</v>
      </c>
      <c r="G429" s="638" t="s">
        <v>78</v>
      </c>
      <c r="H429" s="639">
        <v>48000</v>
      </c>
      <c r="I429" s="627"/>
      <c r="J429" s="60" t="s">
        <v>4228</v>
      </c>
      <c r="K429" s="627"/>
      <c r="L429" s="627"/>
      <c r="M429" s="627"/>
      <c r="N429" s="627"/>
      <c r="O429" s="627"/>
      <c r="P429" s="627"/>
      <c r="Q429" s="627"/>
      <c r="R429" s="627"/>
      <c r="S429" s="627"/>
      <c r="T429" s="627"/>
      <c r="U429" s="627"/>
      <c r="V429" s="627"/>
      <c r="W429" s="627"/>
      <c r="X429" s="627"/>
      <c r="Y429" s="627"/>
      <c r="Z429" s="627"/>
    </row>
    <row r="430" spans="1:26" ht="15.75" customHeight="1">
      <c r="A430" s="50"/>
      <c r="B430" s="52" t="s">
        <v>198</v>
      </c>
      <c r="C430" s="53" t="s">
        <v>25</v>
      </c>
      <c r="D430" s="55" t="s">
        <v>26</v>
      </c>
      <c r="E430" s="627"/>
      <c r="F430" s="635" t="s">
        <v>309</v>
      </c>
      <c r="G430" s="638" t="s">
        <v>78</v>
      </c>
      <c r="H430" s="639">
        <v>9700</v>
      </c>
      <c r="I430" s="627"/>
      <c r="J430" s="60" t="s">
        <v>4229</v>
      </c>
      <c r="K430" s="627"/>
      <c r="L430" s="627"/>
      <c r="M430" s="627"/>
      <c r="N430" s="627"/>
      <c r="O430" s="627"/>
      <c r="P430" s="627"/>
      <c r="Q430" s="627"/>
      <c r="R430" s="627"/>
      <c r="S430" s="627"/>
      <c r="T430" s="627"/>
      <c r="U430" s="627"/>
      <c r="V430" s="627"/>
      <c r="W430" s="627"/>
      <c r="X430" s="627"/>
      <c r="Y430" s="627"/>
      <c r="Z430" s="627"/>
    </row>
    <row r="431" spans="1:26" ht="15.75" customHeight="1">
      <c r="A431" s="50"/>
      <c r="B431" s="52" t="s">
        <v>200</v>
      </c>
      <c r="C431" s="53" t="s">
        <v>25</v>
      </c>
      <c r="D431" s="55" t="s">
        <v>26</v>
      </c>
      <c r="E431" s="627"/>
      <c r="F431" s="635" t="s">
        <v>328</v>
      </c>
      <c r="G431" s="638" t="s">
        <v>78</v>
      </c>
      <c r="H431" s="639">
        <v>66000</v>
      </c>
      <c r="I431" s="627"/>
      <c r="J431" s="60" t="s">
        <v>4230</v>
      </c>
      <c r="K431" s="627"/>
      <c r="L431" s="627"/>
      <c r="M431" s="627"/>
      <c r="N431" s="627"/>
      <c r="O431" s="627"/>
      <c r="P431" s="627"/>
      <c r="Q431" s="627"/>
      <c r="R431" s="627"/>
      <c r="S431" s="627"/>
      <c r="T431" s="627"/>
      <c r="U431" s="627"/>
      <c r="V431" s="627"/>
      <c r="W431" s="627"/>
      <c r="X431" s="627"/>
      <c r="Y431" s="627"/>
      <c r="Z431" s="627"/>
    </row>
    <row r="432" spans="1:26" ht="15.75" customHeight="1">
      <c r="A432" s="50"/>
      <c r="B432" s="52" t="s">
        <v>204</v>
      </c>
      <c r="C432" s="53" t="s">
        <v>25</v>
      </c>
      <c r="D432" s="55" t="s">
        <v>26</v>
      </c>
      <c r="E432" s="627"/>
      <c r="F432" s="635" t="s">
        <v>241</v>
      </c>
      <c r="G432" s="638" t="s">
        <v>78</v>
      </c>
      <c r="H432" s="639">
        <v>13800</v>
      </c>
      <c r="I432" s="627"/>
      <c r="J432" s="60" t="s">
        <v>4231</v>
      </c>
      <c r="K432" s="627"/>
      <c r="L432" s="627"/>
      <c r="M432" s="627"/>
      <c r="N432" s="627"/>
      <c r="O432" s="627"/>
      <c r="P432" s="627"/>
      <c r="Q432" s="627"/>
      <c r="R432" s="627"/>
      <c r="S432" s="627"/>
      <c r="T432" s="627"/>
      <c r="U432" s="627"/>
      <c r="V432" s="627"/>
      <c r="W432" s="627"/>
      <c r="X432" s="627"/>
      <c r="Y432" s="627"/>
      <c r="Z432" s="627"/>
    </row>
    <row r="433" spans="1:26" ht="15.75" customHeight="1">
      <c r="A433" s="50"/>
      <c r="B433" s="52" t="s">
        <v>151</v>
      </c>
      <c r="C433" s="53" t="s">
        <v>25</v>
      </c>
      <c r="D433" s="55" t="s">
        <v>26</v>
      </c>
      <c r="E433" s="627"/>
      <c r="F433" s="635" t="s">
        <v>245</v>
      </c>
      <c r="G433" s="638" t="s">
        <v>78</v>
      </c>
      <c r="H433" s="639">
        <v>16800</v>
      </c>
      <c r="I433" s="627"/>
      <c r="J433" s="60" t="s">
        <v>4232</v>
      </c>
      <c r="K433" s="627"/>
      <c r="L433" s="627"/>
      <c r="M433" s="627"/>
      <c r="N433" s="627"/>
      <c r="O433" s="627"/>
      <c r="P433" s="627"/>
      <c r="Q433" s="627"/>
      <c r="R433" s="627"/>
      <c r="S433" s="627"/>
      <c r="T433" s="627"/>
      <c r="U433" s="627"/>
      <c r="V433" s="627"/>
      <c r="W433" s="627"/>
      <c r="X433" s="627"/>
      <c r="Y433" s="627"/>
      <c r="Z433" s="627"/>
    </row>
    <row r="434" spans="1:26" ht="15.75" customHeight="1">
      <c r="A434" s="50"/>
      <c r="B434" s="52" t="s">
        <v>155</v>
      </c>
      <c r="C434" s="53" t="s">
        <v>25</v>
      </c>
      <c r="D434" s="55" t="s">
        <v>26</v>
      </c>
      <c r="E434" s="627"/>
      <c r="F434" s="635" t="s">
        <v>247</v>
      </c>
      <c r="G434" s="638" t="s">
        <v>78</v>
      </c>
      <c r="H434" s="639">
        <v>34200</v>
      </c>
      <c r="I434" s="627"/>
      <c r="J434" s="60" t="s">
        <v>4233</v>
      </c>
      <c r="K434" s="627"/>
      <c r="L434" s="627"/>
      <c r="M434" s="627"/>
      <c r="N434" s="627"/>
      <c r="O434" s="627"/>
      <c r="P434" s="627"/>
      <c r="Q434" s="627"/>
      <c r="R434" s="627"/>
      <c r="S434" s="627"/>
      <c r="T434" s="627"/>
      <c r="U434" s="627"/>
      <c r="V434" s="627"/>
      <c r="W434" s="627"/>
      <c r="X434" s="627"/>
      <c r="Y434" s="627"/>
      <c r="Z434" s="627"/>
    </row>
    <row r="435" spans="1:26" ht="15.75" customHeight="1">
      <c r="A435" s="50"/>
      <c r="B435" s="52" t="s">
        <v>160</v>
      </c>
      <c r="C435" s="53" t="s">
        <v>25</v>
      </c>
      <c r="D435" s="55" t="s">
        <v>26</v>
      </c>
      <c r="E435" s="627"/>
      <c r="F435" s="635" t="s">
        <v>328</v>
      </c>
      <c r="G435" s="638" t="s">
        <v>78</v>
      </c>
      <c r="H435" s="639">
        <v>66000</v>
      </c>
      <c r="I435" s="627"/>
      <c r="J435" s="60" t="s">
        <v>4234</v>
      </c>
      <c r="K435" s="627"/>
      <c r="L435" s="627"/>
      <c r="M435" s="627"/>
      <c r="N435" s="627"/>
      <c r="O435" s="627"/>
      <c r="P435" s="627"/>
      <c r="Q435" s="627"/>
      <c r="R435" s="627"/>
      <c r="S435" s="627"/>
      <c r="T435" s="627"/>
      <c r="U435" s="627"/>
      <c r="V435" s="627"/>
      <c r="W435" s="627"/>
      <c r="X435" s="627"/>
      <c r="Y435" s="627"/>
      <c r="Z435" s="627"/>
    </row>
    <row r="436" spans="1:26" ht="15.75" customHeight="1">
      <c r="A436" s="50"/>
      <c r="B436" s="52" t="s">
        <v>166</v>
      </c>
      <c r="C436" s="53" t="s">
        <v>25</v>
      </c>
      <c r="D436" s="55" t="s">
        <v>26</v>
      </c>
      <c r="E436" s="627"/>
      <c r="F436" s="635" t="s">
        <v>141</v>
      </c>
      <c r="G436" s="638" t="s">
        <v>78</v>
      </c>
      <c r="H436" s="639">
        <v>21000</v>
      </c>
      <c r="I436" s="627"/>
      <c r="J436" s="60" t="s">
        <v>4235</v>
      </c>
      <c r="K436" s="627"/>
      <c r="L436" s="627"/>
      <c r="M436" s="627"/>
      <c r="N436" s="627"/>
      <c r="O436" s="627"/>
      <c r="P436" s="627"/>
      <c r="Q436" s="627"/>
      <c r="R436" s="627"/>
      <c r="S436" s="627"/>
      <c r="T436" s="627"/>
      <c r="U436" s="627"/>
      <c r="V436" s="627"/>
      <c r="W436" s="627"/>
      <c r="X436" s="627"/>
      <c r="Y436" s="627"/>
      <c r="Z436" s="627"/>
    </row>
    <row r="437" spans="1:26" ht="15.75" customHeight="1">
      <c r="A437" s="50"/>
      <c r="B437" s="52" t="s">
        <v>164</v>
      </c>
      <c r="C437" s="53" t="s">
        <v>25</v>
      </c>
      <c r="D437" s="55" t="s">
        <v>26</v>
      </c>
      <c r="E437" s="627"/>
      <c r="F437" s="635" t="s">
        <v>4207</v>
      </c>
      <c r="G437" s="638" t="s">
        <v>53</v>
      </c>
      <c r="H437" s="639">
        <v>22000</v>
      </c>
      <c r="I437" s="627"/>
      <c r="J437" s="60" t="s">
        <v>4236</v>
      </c>
      <c r="K437" s="627"/>
      <c r="L437" s="627"/>
      <c r="M437" s="627"/>
      <c r="N437" s="627"/>
      <c r="O437" s="627"/>
      <c r="P437" s="627"/>
      <c r="Q437" s="627"/>
      <c r="R437" s="627"/>
      <c r="S437" s="627"/>
      <c r="T437" s="627"/>
      <c r="U437" s="627"/>
      <c r="V437" s="627"/>
      <c r="W437" s="627"/>
      <c r="X437" s="627"/>
      <c r="Y437" s="627"/>
      <c r="Z437" s="627"/>
    </row>
    <row r="438" spans="1:26" ht="15.75" customHeight="1">
      <c r="A438" s="50"/>
      <c r="B438" s="52" t="s">
        <v>146</v>
      </c>
      <c r="C438" s="53" t="s">
        <v>25</v>
      </c>
      <c r="D438" s="55" t="s">
        <v>26</v>
      </c>
      <c r="E438" s="627"/>
      <c r="F438" s="635" t="s">
        <v>4208</v>
      </c>
      <c r="G438" s="638" t="s">
        <v>53</v>
      </c>
      <c r="H438" s="639">
        <v>34000</v>
      </c>
      <c r="I438" s="627"/>
      <c r="J438" s="60" t="s">
        <v>4237</v>
      </c>
      <c r="K438" s="627"/>
      <c r="L438" s="627"/>
      <c r="M438" s="627"/>
      <c r="N438" s="627"/>
      <c r="O438" s="627"/>
      <c r="P438" s="627"/>
      <c r="Q438" s="627"/>
      <c r="R438" s="627"/>
      <c r="S438" s="627"/>
      <c r="T438" s="627"/>
      <c r="U438" s="627"/>
      <c r="V438" s="627"/>
      <c r="W438" s="627"/>
      <c r="X438" s="627"/>
      <c r="Y438" s="627"/>
      <c r="Z438" s="627"/>
    </row>
    <row r="439" spans="1:26" ht="15.75" customHeight="1">
      <c r="A439" s="50"/>
      <c r="B439" s="52" t="s">
        <v>148</v>
      </c>
      <c r="C439" s="53" t="s">
        <v>25</v>
      </c>
      <c r="D439" s="55" t="s">
        <v>26</v>
      </c>
      <c r="E439" s="627"/>
      <c r="F439" s="635" t="s">
        <v>4209</v>
      </c>
      <c r="G439" s="638" t="s">
        <v>53</v>
      </c>
      <c r="H439" s="639">
        <v>85000</v>
      </c>
      <c r="I439" s="627"/>
      <c r="J439" s="60" t="s">
        <v>4238</v>
      </c>
      <c r="K439" s="627"/>
      <c r="L439" s="627"/>
      <c r="M439" s="627"/>
      <c r="N439" s="627"/>
      <c r="O439" s="627"/>
      <c r="P439" s="627"/>
      <c r="Q439" s="627"/>
      <c r="R439" s="627"/>
      <c r="S439" s="627"/>
      <c r="T439" s="627"/>
      <c r="U439" s="627"/>
      <c r="V439" s="627"/>
      <c r="W439" s="627"/>
      <c r="X439" s="627"/>
      <c r="Y439" s="627"/>
      <c r="Z439" s="627"/>
    </row>
    <row r="440" spans="1:26" ht="15.75" customHeight="1">
      <c r="A440" s="50"/>
      <c r="B440" s="52" t="s">
        <v>402</v>
      </c>
      <c r="C440" s="53" t="s">
        <v>25</v>
      </c>
      <c r="D440" s="55" t="s">
        <v>26</v>
      </c>
      <c r="E440" s="627"/>
      <c r="F440" s="635" t="s">
        <v>4210</v>
      </c>
      <c r="G440" s="638" t="s">
        <v>53</v>
      </c>
      <c r="H440" s="639">
        <v>110000</v>
      </c>
      <c r="I440" s="627"/>
      <c r="J440" s="60" t="s">
        <v>4239</v>
      </c>
      <c r="K440" s="627"/>
      <c r="L440" s="627"/>
      <c r="M440" s="627"/>
      <c r="N440" s="627"/>
      <c r="O440" s="627"/>
      <c r="P440" s="627"/>
      <c r="Q440" s="627"/>
      <c r="R440" s="627"/>
      <c r="S440" s="627"/>
      <c r="T440" s="627"/>
      <c r="U440" s="627"/>
      <c r="V440" s="627"/>
      <c r="W440" s="627"/>
      <c r="X440" s="627"/>
      <c r="Y440" s="627"/>
      <c r="Z440" s="627"/>
    </row>
    <row r="441" spans="1:26" ht="15.75" customHeight="1">
      <c r="A441" s="50"/>
      <c r="B441" s="52" t="s">
        <v>407</v>
      </c>
      <c r="C441" s="53" t="s">
        <v>25</v>
      </c>
      <c r="D441" s="55" t="s">
        <v>26</v>
      </c>
      <c r="E441" s="627"/>
      <c r="F441" s="635" t="s">
        <v>4211</v>
      </c>
      <c r="G441" s="638" t="s">
        <v>53</v>
      </c>
      <c r="H441" s="639">
        <v>97000</v>
      </c>
      <c r="I441" s="627"/>
      <c r="J441" s="60" t="s">
        <v>4240</v>
      </c>
      <c r="K441" s="627"/>
      <c r="L441" s="627"/>
      <c r="M441" s="627"/>
      <c r="N441" s="627"/>
      <c r="O441" s="627"/>
      <c r="P441" s="627"/>
      <c r="Q441" s="627"/>
      <c r="R441" s="627"/>
      <c r="S441" s="627"/>
      <c r="T441" s="627"/>
      <c r="U441" s="627"/>
      <c r="V441" s="627"/>
      <c r="W441" s="627"/>
      <c r="X441" s="627"/>
      <c r="Y441" s="627"/>
      <c r="Z441" s="627"/>
    </row>
    <row r="442" spans="1:26" ht="15.75" customHeight="1">
      <c r="A442" s="50"/>
      <c r="B442" s="52" t="s">
        <v>127</v>
      </c>
      <c r="C442" s="53" t="s">
        <v>25</v>
      </c>
      <c r="D442" s="55" t="s">
        <v>26</v>
      </c>
      <c r="E442" s="627"/>
      <c r="F442" s="635" t="s">
        <v>4212</v>
      </c>
      <c r="G442" s="638" t="s">
        <v>53</v>
      </c>
      <c r="H442" s="639">
        <v>85000</v>
      </c>
      <c r="I442" s="627"/>
      <c r="J442" s="60" t="s">
        <v>4241</v>
      </c>
      <c r="K442" s="627"/>
      <c r="L442" s="627"/>
      <c r="M442" s="627"/>
      <c r="N442" s="627"/>
      <c r="O442" s="627"/>
      <c r="P442" s="627"/>
      <c r="Q442" s="627"/>
      <c r="R442" s="627"/>
      <c r="S442" s="627"/>
      <c r="T442" s="627"/>
      <c r="U442" s="627"/>
      <c r="V442" s="627"/>
      <c r="W442" s="627"/>
      <c r="X442" s="627"/>
      <c r="Y442" s="627"/>
      <c r="Z442" s="627"/>
    </row>
    <row r="443" spans="1:26" ht="15.75" customHeight="1">
      <c r="A443" s="50"/>
      <c r="B443" s="52" t="s">
        <v>111</v>
      </c>
      <c r="C443" s="53" t="s">
        <v>25</v>
      </c>
      <c r="D443" s="55" t="s">
        <v>26</v>
      </c>
      <c r="E443" s="627"/>
      <c r="F443" s="635" t="s">
        <v>4213</v>
      </c>
      <c r="G443" s="638" t="s">
        <v>53</v>
      </c>
      <c r="H443" s="639">
        <v>80000</v>
      </c>
      <c r="I443" s="627"/>
      <c r="J443" s="60" t="s">
        <v>4242</v>
      </c>
      <c r="K443" s="627"/>
      <c r="L443" s="627"/>
      <c r="M443" s="627"/>
      <c r="N443" s="627"/>
      <c r="O443" s="627"/>
      <c r="P443" s="627"/>
      <c r="Q443" s="627"/>
      <c r="R443" s="627"/>
      <c r="S443" s="627"/>
      <c r="T443" s="627"/>
      <c r="U443" s="627"/>
      <c r="V443" s="627"/>
      <c r="W443" s="627"/>
      <c r="X443" s="627"/>
      <c r="Y443" s="627"/>
      <c r="Z443" s="627"/>
    </row>
    <row r="444" spans="1:26" ht="15.75" customHeight="1">
      <c r="A444" s="50"/>
      <c r="B444" s="52" t="s">
        <v>123</v>
      </c>
      <c r="C444" s="53" t="s">
        <v>25</v>
      </c>
      <c r="D444" s="55" t="s">
        <v>26</v>
      </c>
      <c r="E444" s="627"/>
      <c r="F444" s="635" t="s">
        <v>312</v>
      </c>
      <c r="G444" s="638" t="s">
        <v>78</v>
      </c>
      <c r="H444" s="639">
        <v>24500</v>
      </c>
      <c r="I444" s="627"/>
      <c r="J444" s="60" t="s">
        <v>4243</v>
      </c>
      <c r="K444" s="627"/>
      <c r="L444" s="627"/>
      <c r="M444" s="627"/>
      <c r="N444" s="627"/>
      <c r="O444" s="627"/>
      <c r="P444" s="627"/>
      <c r="Q444" s="627"/>
      <c r="R444" s="627"/>
      <c r="S444" s="627"/>
      <c r="T444" s="627"/>
      <c r="U444" s="627"/>
      <c r="V444" s="627"/>
      <c r="W444" s="627"/>
      <c r="X444" s="627"/>
      <c r="Y444" s="627"/>
      <c r="Z444" s="627"/>
    </row>
  </sheetData>
  <autoFilter ref="A1:Z414" xr:uid="{00000000-0009-0000-0000-000001000000}"/>
  <mergeCells count="29">
    <mergeCell ref="J162:L162"/>
    <mergeCell ref="Q162:S162"/>
    <mergeCell ref="X162:Z162"/>
    <mergeCell ref="J172:L172"/>
    <mergeCell ref="Q172:S172"/>
    <mergeCell ref="X172:Z172"/>
    <mergeCell ref="D107:F107"/>
    <mergeCell ref="J107:L107"/>
    <mergeCell ref="Q107:S107"/>
    <mergeCell ref="X107:Z107"/>
    <mergeCell ref="D124:F124"/>
    <mergeCell ref="J124:L124"/>
    <mergeCell ref="Q124:S124"/>
    <mergeCell ref="X124:Z124"/>
    <mergeCell ref="D79:F79"/>
    <mergeCell ref="J79:L79"/>
    <mergeCell ref="Q79:S79"/>
    <mergeCell ref="X79:Z79"/>
    <mergeCell ref="D2:F2"/>
    <mergeCell ref="D22:F22"/>
    <mergeCell ref="D25:F25"/>
    <mergeCell ref="D26:F26"/>
    <mergeCell ref="D30:F30"/>
    <mergeCell ref="D42:F42"/>
    <mergeCell ref="D49:F49"/>
    <mergeCell ref="D62:F62"/>
    <mergeCell ref="J62:L62"/>
    <mergeCell ref="Q62:S62"/>
    <mergeCell ref="X62:Z62"/>
  </mergeCells>
  <conditionalFormatting sqref="A288">
    <cfRule type="notContainsBlanks" dxfId="335" priority="4">
      <formula>LEN(TRIM(A288))&gt;0</formula>
    </cfRule>
  </conditionalFormatting>
  <conditionalFormatting sqref="N160:S160 N288:S288">
    <cfRule type="notContainsBlanks" dxfId="334" priority="5">
      <formula>LEN(TRIM(N160))&gt;0</formula>
    </cfRule>
  </conditionalFormatting>
  <conditionalFormatting sqref="N3:S414">
    <cfRule type="cellIs" dxfId="333" priority="6" operator="equal">
      <formula>"พร้อม"</formula>
    </cfRule>
  </conditionalFormatting>
  <conditionalFormatting sqref="T3:U414">
    <cfRule type="cellIs" dxfId="332" priority="7" operator="greaterThanOrEqual">
      <formula>2561</formula>
    </cfRule>
  </conditionalFormatting>
  <conditionalFormatting sqref="N3:S414">
    <cfRule type="cellIs" dxfId="331" priority="8" operator="equal">
      <formula>1</formula>
    </cfRule>
  </conditionalFormatting>
  <conditionalFormatting sqref="A2:A444">
    <cfRule type="cellIs" dxfId="330" priority="9" operator="equal">
      <formula>"รอเข้าพิจารณา คุณลักษณะฯ"</formula>
    </cfRule>
  </conditionalFormatting>
  <conditionalFormatting sqref="A2:A444">
    <cfRule type="containsText" dxfId="329" priority="10" operator="containsText" text="รอการขอยกเลิกคุณลักษณะ">
      <formula>NOT(ISERROR(SEARCH(("รอการขอยกเลิกคุณลักษณะ"),(A2))))</formula>
    </cfRule>
  </conditionalFormatting>
  <conditionalFormatting sqref="D3:D6 J30 Q30 X30 J62 Q62 X62 J79:J80 Q79:Q80 X79:X80 Q121 X121 Q135 X135 J173 Q173 X173 J183 Q183 X183 C187 J187 Q187 X187 C195 J195 Q195 X195 C199 I199:J199 P199:Q199 W199:X199 C225:C226 I225:J226 P225:Q226 X225:X226 A229 C229 H229:J229 O229:Q229 V229 X229 A232:A233 C232:C233 G232:J233 N232:Q233 U232:V233 X232:X233 F233 M233 T233 A236 C236 E236:J236 L236:Q236 S236:V236 X236 Z236:AM236 V239 V242:V244 V251 V253:V254 V257 V263:V264 V266:V267 A280 C280 E280:J280 L280:Q280 S280:U280 X280 Z280:AM280 A287:A289 C287:C289 E287:U289 X287:AM289 N302:S302 A318 C318 E318:V318 X318:AM318 A323:A324 C323:C324 E323:E324 X323:AM324 A328 C328 E328 X328:AM328 A331 C331 E331 X331:AM331 D8:D24 D26:D41 D43:D128 W225:W268 G331:V331 G328:V328 G323:V324 D131:D444">
    <cfRule type="beginsWith" dxfId="328" priority="11" operator="beginsWith" text="พัสดุ">
      <formula>LEFT((D3),LEN("พัสดุ"))=("พัสดุ")</formula>
    </cfRule>
  </conditionalFormatting>
  <conditionalFormatting sqref="D3:D6 J30 Q30 X30 J62 Q62 X62 J79:J80 Q79:Q80 X79:X80 Q121 X121 Q135 X135 J173 Q173 X173 J183 Q183 X183 C187 J187 Q187 X187 C195 J195 Q195 X195 C199 I199:J199 P199:Q199 W199:X199 C225:C226 I225:J226 P225:Q226 X225:X226 A229 C229 H229:J229 O229:Q229 V229 X229 A232:A233 C232:C233 G232:J233 N232:Q233 U232:V233 X232:X233 F233 M233 T233 A236 C236 E236:J236 L236:Q236 S236:V236 X236 Z236:AM236 V239 V242:V244 V251 V253:V254 V257 V263:V264 V266:V267 A280 C280 E280:J280 L280:Q280 S280:U280 X280 Z280:AM280 A287:A289 C287:C289 E287:U289 X287:AM289 N302:S302 A318 C318 E318:V318 X318:AM318 A323:A324 C323:C324 E323:E324 X323:AM324 A328 C328 E328 X328:AM328 A331 C331 E331 X331:AM331 G331:V331 G328:V328 G323:V324">
    <cfRule type="beginsWith" dxfId="327" priority="12" operator="beginsWith" text="พัสดุ">
      <formula>LEFT((D3),LEN("พัสดุ"))=("พัสดุ")</formula>
    </cfRule>
  </conditionalFormatting>
  <conditionalFormatting sqref="A2:A444">
    <cfRule type="cellIs" dxfId="326" priority="13" operator="equal">
      <formula>"อยู่ระหว่างการพิจารณา คุณลักษณะฯ"</formula>
    </cfRule>
  </conditionalFormatting>
  <conditionalFormatting sqref="A2:A444">
    <cfRule type="containsText" dxfId="325" priority="14" operator="containsText" text="ผ่านการพิจารณา รอ จก.ชย.ทอ.ลงนาม">
      <formula>NOT(ISERROR(SEARCH(("ผ่านการพิจารณา รอ จก.ชย.ทอ.ลงนาม"),(A2))))</formula>
    </cfRule>
  </conditionalFormatting>
  <conditionalFormatting sqref="A2:A444">
    <cfRule type="containsText" dxfId="324" priority="15" operator="containsText" text="ผ่านการพิจารณาคำแนะนำ รอ จก.ชย.ทอ.ลงนาม">
      <formula>NOT(ISERROR(SEARCH(("ผ่านการพิจารณาคำแนะนำ รอ จก.ชย.ทอ.ลงนาม"),(A2))))</formula>
    </cfRule>
  </conditionalFormatting>
  <conditionalFormatting sqref="A2:A444">
    <cfRule type="beginsWith" dxfId="323" priority="16" operator="beginsWith" text="เอกสารไม่พร้อม">
      <formula>LEFT((A2),LEN("เอกสารไม่พร้อม"))=("เอกสารไม่พร้อม")</formula>
    </cfRule>
  </conditionalFormatting>
  <conditionalFormatting sqref="A2:A444">
    <cfRule type="notContainsBlanks" dxfId="322" priority="17">
      <formula>LEN(TRIM(A2))&gt;0</formula>
    </cfRule>
  </conditionalFormatting>
  <conditionalFormatting sqref="A2 A22 A25:A26 A30 A42 A49">
    <cfRule type="cellIs" dxfId="321" priority="18" operator="equal">
      <formula>"อยู่ระหว่างการพิจารณา คุณลักษณะฯ"</formula>
    </cfRule>
  </conditionalFormatting>
  <conditionalFormatting sqref="A2 A22 A25:A26 A30 A42 A49">
    <cfRule type="containsText" dxfId="320" priority="19" operator="containsText" text="ผ่านการพิจารณา รอ จก.ชย.ทอ.ลงนาม">
      <formula>NOT(ISERROR(SEARCH(("ผ่านการพิจารณา รอ จก.ชย.ทอ.ลงนาม"),(A2))))</formula>
    </cfRule>
  </conditionalFormatting>
  <conditionalFormatting sqref="A2 A22 A25:A26 A30 A42 A49">
    <cfRule type="containsText" dxfId="319" priority="20" operator="containsText" text="รอการขอยกเลิกคุณลักษณะ">
      <formula>NOT(ISERROR(SEARCH(("รอการขอยกเลิกคุณลักษณะ"),(A2))))</formula>
    </cfRule>
  </conditionalFormatting>
  <conditionalFormatting sqref="A2 A22 A25:A26 A30 A42 A49">
    <cfRule type="containsText" dxfId="318" priority="21" operator="containsText" text="ผ่านการพิจารณาคำแนะนำ รอ จก.ชย.ทอ.ลงนาม">
      <formula>NOT(ISERROR(SEARCH(("ผ่านการพิจารณาคำแนะนำ รอ จก.ชย.ทอ.ลงนาม"),(A2))))</formula>
    </cfRule>
  </conditionalFormatting>
  <conditionalFormatting sqref="A2 A22 A25:A26 A30 A42 A49">
    <cfRule type="beginsWith" dxfId="317" priority="22" operator="beginsWith" text="เอกสารไม่พร้อม">
      <formula>LEFT((A2),LEN("เอกสารไม่พร้อม"))=("เอกสารไม่พร้อม")</formula>
    </cfRule>
  </conditionalFormatting>
  <conditionalFormatting sqref="A2 A22 A25:A26 A30 A42 A49">
    <cfRule type="notContainsBlanks" dxfId="316" priority="23">
      <formula>LEN(TRIM(A2))&gt;0</formula>
    </cfRule>
  </conditionalFormatting>
  <conditionalFormatting sqref="N2:S2 N22:S22 N25:S26 N30:S30 N42:S42 N49:S49">
    <cfRule type="cellIs" dxfId="315" priority="24" operator="equal">
      <formula>"พร้อม"</formula>
    </cfRule>
  </conditionalFormatting>
  <conditionalFormatting sqref="N2:S2 N22:S22 N25:S26 N30:S30 N42:S42 N49:S49">
    <cfRule type="cellIs" dxfId="314" priority="25" operator="equal">
      <formula>1</formula>
    </cfRule>
  </conditionalFormatting>
  <conditionalFormatting sqref="D2 D22 J22 Q22 X22 D25:D26 J25:J26 Q25:Q26 X25:X26 D30 J30 Q30 X30 D42 J42 Q42 X42 D49 J49 Q49 X49 D62 J62 Q62 X62 J79:J80 Q79:Q80 X79:X80 D121 Q121 X121 D137 Q135 X135 D173 J173 Q173 X173 D183 J183 Q183 X183 C187 J187 Q187 X187 C195 J195 Q195 X195 I199 P199 W199 I225:I226 P225:P226 A229 H229:I229 O229:P229 V229 A232:A233 G232:I233 N232:P233 U232:V233 F233 M233 T233 A236 E236:I236 L236:P236 S236:V236 Z236:AM236 V239 V242:V244 V251 V253:V254 V257 V263:V264 V266:V267 A280 E280:I280 L280:P280 S280:U280 Z280:AM280 A287:A289 D287:I289 K287:P289 R287:U289 Y287:AM289 N302:P302 R302:S302 A318 D318:I318 K318:P318 R318:V318 Y318:AM318 A323:A324 C323:E324 X323:AM324 A328 C328:E328 X328:AM328 A331 C331:E331 X331:AM331 G331:V331 G328:V328 G323:V324">
    <cfRule type="beginsWith" dxfId="313" priority="26" operator="beginsWith" text="พัสดุ">
      <formula>LEFT((D2),LEN("พัสดุ"))=("พัสดุ")</formula>
    </cfRule>
  </conditionalFormatting>
  <conditionalFormatting sqref="N2:S2 N22:S22 N25:S26 N30:S30 N42:S42 N49:S49">
    <cfRule type="cellIs" dxfId="312" priority="27" operator="equal">
      <formula>1</formula>
    </cfRule>
  </conditionalFormatting>
  <conditionalFormatting sqref="T1:U1">
    <cfRule type="cellIs" dxfId="311" priority="28" operator="greaterThanOrEqual">
      <formula>2561</formula>
    </cfRule>
  </conditionalFormatting>
  <conditionalFormatting sqref="N1:S1">
    <cfRule type="cellIs" dxfId="310" priority="29" operator="equal">
      <formula>1</formula>
    </cfRule>
  </conditionalFormatting>
  <conditionalFormatting sqref="M1:M414">
    <cfRule type="notContainsBlanks" dxfId="309" priority="30">
      <formula>LEN(TRIM(M1))&gt;0</formula>
    </cfRule>
  </conditionalFormatting>
  <conditionalFormatting sqref="D7">
    <cfRule type="beginsWith" dxfId="308" priority="2" operator="beginsWith" text="พัสดุ">
      <formula>LEFT((G7),LEN("พัสดุ"))=("พัสดุ")</formula>
    </cfRule>
  </conditionalFormatting>
  <conditionalFormatting sqref="D7">
    <cfRule type="beginsWith" dxfId="307" priority="3" operator="beginsWith" text="พัสดุ">
      <formula>LEFT((G7),LEN("พัสดุ"))=("พัสดุ")</formula>
    </cfRule>
  </conditionalFormatting>
  <conditionalFormatting sqref="J137">
    <cfRule type="beginsWith" dxfId="306" priority="31" operator="beginsWith" text="พัสดุ">
      <formula>LEFT((M135),LEN("พัสดุ"))=("พัสดุ")</formula>
    </cfRule>
  </conditionalFormatting>
  <conditionalFormatting sqref="D129:D130">
    <cfRule type="beginsWith" dxfId="305" priority="1" operator="beginsWith" text="พัสดุ">
      <formula>LEFT((G129),LEN("พัสดุ"))=("พัสดุ")</formula>
    </cfRule>
  </conditionalFormatting>
  <dataValidations count="11">
    <dataValidation type="list" allowBlank="1" sqref="A290" xr:uid="{00000000-0002-0000-0100-000000000000}">
      <formula1>"รอการขอยกเลิกคุณลักษณะ,รอเข้าพิจารณา คุณลักษณะฯ,อยู่ระหว่างการพิจารณา คุณลักษณะฯ,ผ่านการพิจารณา รอ จก.ชย.ทอ.ลงนาม,รอเข้าพิจารณา คำแนะนำฯ,อยู่ระหว่างการพิจารณา คำแนะนำฯ,ผ่านการพิจารณาคำแนะนำ รอ จก.ชย.ทอ.ลงนาม.,เอกสารไม่พร้อมเข้าพิจารณา"</formula1>
    </dataValidation>
    <dataValidation type="list" allowBlank="1" sqref="Q17 Q19:Q20 Q53 Q71 Q81 Q92 Q97 Q100 Q108:Q110 Q115:Q117 Q119:Q120 Q133:Q134 Q171 Q174 Q289 Q302" xr:uid="{00000000-0002-0000-0100-000001000000}">
      <formula1>"ยังไม่ส่งราคาของแต่ละยี่ห้อ,พร้อม"</formula1>
    </dataValidation>
    <dataValidation type="list" allowBlank="1" sqref="A24" xr:uid="{00000000-0002-0000-0100-000002000000}">
      <formula1>"รอเข้าพิจารณา คุณลักษณะฯ,รอเข้าพิจารณา คำแนะนำฯ,อยู่ระหว่างการพิจารณา คุณลักษณะฯ,อยู่ระหว่างการพิจารณา คำแนะนำฯ,รอการขอยกเลิกคุณลักษณะ"</formula1>
    </dataValidation>
    <dataValidation type="list" allowBlank="1" sqref="P17 P19:P20 P53 P71 P81 P92 P97 P100 P108:P110 P115:P117 P119:P120 P133:P134 P171 P174 P289 P302" xr:uid="{00000000-0002-0000-0100-000003000000}">
      <formula1>"ตารางเปรียบเทียบคุณสมบัติ,พร้อม"</formula1>
    </dataValidation>
    <dataValidation type="list" allowBlank="1" sqref="A23 A27:A29 A43:A48 A50:A61 A63:A66 A108:A123 A173:A175 A177:A182 A184:A186 A216:A217 A219:A220 A223:A224 A270:A275 A278:A289 A291:A296 A298:A299 A303:A306 A308:A311 A314:A316 A318:A319 A321:A444 A3:A21 A31:A41 A68:A78 A81:A106 A163:A171 A188:A213 A226:A268 A125:A161" xr:uid="{00000000-0002-0000-0100-000004000000}">
      <formula1>"รอการขอยกเลิกคุณลักษณะ,รอเข้าพิจารณา คุณลักษณะฯ,อยู่ระหว่างการพิจารณา คุณลักษณะฯ,ผ่านการพิจารณา รอ จก.ชย.ทอ.ลงนาม,รอเข้าพิจารณา คำแนะนำฯ,อยู่ระหว่างการพิจารณา คำแนะนำฯ,ผ่านการพิจารณาคำแนะนำ รอ จก.ชย.ทอ.ลงนาม"</formula1>
    </dataValidation>
    <dataValidation type="list" allowBlank="1" sqref="O17 O19:O20 O53 O71 O81 O92 O97 O100 O108:O110 O115:O117 O119:O120 O133:O134 O171 O174 O289 O302" xr:uid="{00000000-0002-0000-0100-000005000000}">
      <formula1>"เอกสารคู่เทียบไม่พร้อม,พร้อม"</formula1>
    </dataValidation>
    <dataValidation type="list" allowBlank="1" sqref="R17 R19:R20 R53 R71 R81 R92 R97 R100 R108:R110 R115:R117 R119:R120 R133:R134 R171 R174 R289 R302" xr:uid="{00000000-0002-0000-0100-000006000000}">
      <formula1>"ยังไม่ถ่ายสำเนาให้กรรมการ 12 ชุด,พร้อม"</formula1>
    </dataValidation>
    <dataValidation type="list" allowBlank="1" sqref="A67 A297 A300:A302" xr:uid="{00000000-0002-0000-0100-000007000000}">
      <formula1>"รอการขอยกเลิกคุณลักษณะ,รอเข้าพิจารณา คุณลักษณะฯ,อยู่ระหว่างการพิจารณา คุณลักษณะฯ,ผ่านการพิจารณา รอ จก.ชย.ทอ.ลงนาม,รอเข้าพิจารณา คำแนะนำฯ,อยู่ระหว่างการพิจารณา คำแนะนำฯ,ผ่านการพิจารณาคำแนะนำ รอ จก.ชย.ทอ.ลงนาม.,เอกสารไม่พร้อมเข้าประชุม"</formula1>
    </dataValidation>
    <dataValidation type="list" allowBlank="1" sqref="N17 N19:N20 N53 N71 N81 N92 N97 N100 N108:N110 N115:N117 N119:N120 N133:N134 N171 N174 N289 N302" xr:uid="{00000000-0002-0000-0100-000008000000}">
      <formula1>"ไม่ผ่านการประชุมขากกองฯ,พร้อม"</formula1>
    </dataValidation>
    <dataValidation type="list" allowBlank="1" sqref="C318:C319 C23:C24 C27:C29 C43:C48 C50:C61 O91 C173:C175 C177:C182 C184:C186 C216:C217 C219:C220 C223:C224 C270:C275 C278:C306 C308 C310:C311 C314:C316 C3:C21 C31:C41 C63:C78 C80:C106 C108:C123 C163:C171 C188:C213 C226:C268 C125:C161" xr:uid="{00000000-0002-0000-0100-000009000000}">
      <formula1>"กวก.ฯ,กอค.ฯ,กสน.ฯ,กรง.ฯ,กดก.ฯ,กปภ.ฯ,กฟฟ.ฯ,ชย.ทอ."</formula1>
    </dataValidation>
    <dataValidation type="list" allowBlank="1" sqref="S17 S19:S20 S53 S71 S81 S92 S97 S100 S108:S110 S115:S117 S119:S120 S133:S134 S171 S174 S289 S302" xr:uid="{00000000-0002-0000-0100-00000A000000}">
      <formula1>"ยังไม่่ส่งไฟล์ ที่ใช้ในการประชุม,พร้อม"</formula1>
    </dataValidation>
  </dataValidations>
  <printOptions horizontalCentered="1" gridLines="1"/>
  <pageMargins left="0.35433070866141736" right="0.35433070866141736" top="0.23622047244094491" bottom="0.31496062992125984" header="0" footer="0"/>
  <pageSetup paperSize="9" scale="17" fitToHeight="0" pageOrder="overThenDown" orientation="portrait" cellComments="atEnd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AA1158"/>
  <sheetViews>
    <sheetView workbookViewId="0"/>
  </sheetViews>
  <sheetFormatPr defaultColWidth="14.42578125" defaultRowHeight="12.6" customHeight="1"/>
  <cols>
    <col min="1" max="1" width="12.42578125" customWidth="1"/>
    <col min="2" max="2" width="9.28515625" customWidth="1"/>
    <col min="3" max="3" width="8.140625" customWidth="1"/>
    <col min="4" max="4" width="18" customWidth="1"/>
    <col min="5" max="5" width="8.42578125" customWidth="1"/>
    <col min="6" max="6" width="53.28515625" customWidth="1"/>
    <col min="7" max="8" width="10.42578125" customWidth="1"/>
    <col min="9" max="9" width="10.42578125" hidden="1" customWidth="1"/>
    <col min="10" max="10" width="10.42578125" customWidth="1"/>
    <col min="11" max="11" width="10.5703125" hidden="1" customWidth="1"/>
    <col min="12" max="12" width="13.5703125" hidden="1" customWidth="1"/>
    <col min="13" max="13" width="37.28515625" customWidth="1"/>
    <col min="14" max="14" width="15.5703125" hidden="1" customWidth="1"/>
    <col min="15" max="20" width="11.5703125" hidden="1" customWidth="1"/>
    <col min="21" max="21" width="25.28515625" hidden="1" customWidth="1"/>
    <col min="22" max="27" width="10" hidden="1" customWidth="1"/>
  </cols>
  <sheetData>
    <row r="1" spans="1:27" ht="56.25">
      <c r="A1" s="219"/>
      <c r="B1" s="2" t="s">
        <v>1464</v>
      </c>
      <c r="C1" s="1" t="s">
        <v>2</v>
      </c>
      <c r="D1" s="1" t="s">
        <v>3</v>
      </c>
      <c r="E1" s="1" t="s">
        <v>1670</v>
      </c>
      <c r="F1" s="1" t="s">
        <v>5</v>
      </c>
      <c r="G1" s="1" t="s">
        <v>1671</v>
      </c>
      <c r="H1" s="1" t="s">
        <v>1672</v>
      </c>
      <c r="I1" s="2" t="s">
        <v>1673</v>
      </c>
      <c r="J1" s="4" t="s">
        <v>6</v>
      </c>
      <c r="K1" s="6" t="s">
        <v>9</v>
      </c>
      <c r="L1" s="221" t="s">
        <v>10</v>
      </c>
      <c r="M1" s="1" t="s">
        <v>11</v>
      </c>
      <c r="N1" s="9" t="s">
        <v>12</v>
      </c>
      <c r="O1" s="9" t="s">
        <v>1674</v>
      </c>
      <c r="P1" s="9" t="s">
        <v>15</v>
      </c>
      <c r="Q1" s="9" t="s">
        <v>16</v>
      </c>
      <c r="R1" s="9" t="s">
        <v>17</v>
      </c>
      <c r="S1" s="225" t="s">
        <v>1675</v>
      </c>
      <c r="T1" s="10" t="s">
        <v>1676</v>
      </c>
      <c r="U1" s="10" t="s">
        <v>1677</v>
      </c>
      <c r="V1" s="12"/>
      <c r="W1" s="13"/>
      <c r="X1" s="13"/>
      <c r="Y1" s="13"/>
      <c r="Z1" s="13"/>
      <c r="AA1" s="13"/>
    </row>
    <row r="2" spans="1:27" ht="18.75">
      <c r="A2" s="121"/>
      <c r="B2" s="20" t="str">
        <f t="shared" ref="B2:B65" si="0">LEFT(D2, SEARCH("",D2,4))</f>
        <v>3085</v>
      </c>
      <c r="C2" s="21"/>
      <c r="D2" s="63" t="s">
        <v>1678</v>
      </c>
      <c r="E2" s="21">
        <v>33</v>
      </c>
      <c r="F2" s="46" t="s">
        <v>1679</v>
      </c>
      <c r="G2" s="27"/>
      <c r="H2" s="47"/>
      <c r="I2" s="47"/>
      <c r="J2" s="229"/>
      <c r="K2" s="28"/>
      <c r="L2" s="28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7" ht="18.75">
      <c r="A3" s="121"/>
      <c r="B3" s="20" t="str">
        <f t="shared" si="0"/>
        <v>3432</v>
      </c>
      <c r="C3" s="21"/>
      <c r="D3" s="63" t="s">
        <v>1680</v>
      </c>
      <c r="E3" s="21">
        <v>33</v>
      </c>
      <c r="F3" s="46" t="s">
        <v>1681</v>
      </c>
      <c r="G3" s="27"/>
      <c r="H3" s="47"/>
      <c r="I3" s="47"/>
      <c r="J3" s="229"/>
      <c r="K3" s="28"/>
      <c r="L3" s="28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</row>
    <row r="4" spans="1:27" ht="18.75">
      <c r="A4" s="121"/>
      <c r="B4" s="20" t="str">
        <f t="shared" si="0"/>
        <v>3470</v>
      </c>
      <c r="C4" s="21"/>
      <c r="D4" s="63" t="s">
        <v>1684</v>
      </c>
      <c r="E4" s="21">
        <v>33</v>
      </c>
      <c r="F4" s="46" t="s">
        <v>1686</v>
      </c>
      <c r="G4" s="27"/>
      <c r="H4" s="47"/>
      <c r="I4" s="47"/>
      <c r="J4" s="229"/>
      <c r="K4" s="28"/>
      <c r="L4" s="28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</row>
    <row r="5" spans="1:27" ht="18.75">
      <c r="A5" s="121"/>
      <c r="B5" s="20" t="str">
        <f t="shared" si="0"/>
        <v>3470</v>
      </c>
      <c r="C5" s="21"/>
      <c r="D5" s="63" t="s">
        <v>1690</v>
      </c>
      <c r="E5" s="21">
        <v>33</v>
      </c>
      <c r="F5" s="46" t="s">
        <v>1691</v>
      </c>
      <c r="G5" s="27"/>
      <c r="H5" s="47"/>
      <c r="I5" s="47"/>
      <c r="J5" s="229"/>
      <c r="K5" s="28"/>
      <c r="L5" s="28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</row>
    <row r="6" spans="1:27" ht="18.75">
      <c r="A6" s="121"/>
      <c r="B6" s="20" t="str">
        <f t="shared" si="0"/>
        <v>3740</v>
      </c>
      <c r="C6" s="21"/>
      <c r="D6" s="63" t="s">
        <v>1692</v>
      </c>
      <c r="E6" s="21">
        <v>33</v>
      </c>
      <c r="F6" s="46" t="s">
        <v>1693</v>
      </c>
      <c r="G6" s="27"/>
      <c r="H6" s="47"/>
      <c r="I6" s="47"/>
      <c r="J6" s="229"/>
      <c r="K6" s="28"/>
      <c r="L6" s="28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</row>
    <row r="7" spans="1:27" ht="18.75">
      <c r="A7" s="121"/>
      <c r="B7" s="20" t="str">
        <f t="shared" si="0"/>
        <v>3805</v>
      </c>
      <c r="C7" s="21"/>
      <c r="D7" s="63" t="s">
        <v>1694</v>
      </c>
      <c r="E7" s="21">
        <v>33</v>
      </c>
      <c r="F7" s="46" t="s">
        <v>1695</v>
      </c>
      <c r="G7" s="27"/>
      <c r="H7" s="47"/>
      <c r="I7" s="47"/>
      <c r="J7" s="229"/>
      <c r="K7" s="28"/>
      <c r="L7" s="28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1:27" ht="18.75">
      <c r="A8" s="121"/>
      <c r="B8" s="20" t="str">
        <f t="shared" si="0"/>
        <v>3895</v>
      </c>
      <c r="C8" s="21"/>
      <c r="D8" s="63" t="s">
        <v>1696</v>
      </c>
      <c r="E8" s="21">
        <v>33</v>
      </c>
      <c r="F8" s="46" t="s">
        <v>1697</v>
      </c>
      <c r="G8" s="27"/>
      <c r="H8" s="47"/>
      <c r="I8" s="47"/>
      <c r="J8" s="229"/>
      <c r="K8" s="28"/>
      <c r="L8" s="28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</row>
    <row r="9" spans="1:27" ht="18.75">
      <c r="A9" s="121"/>
      <c r="B9" s="20" t="str">
        <f t="shared" si="0"/>
        <v>3895</v>
      </c>
      <c r="C9" s="21"/>
      <c r="D9" s="63" t="s">
        <v>1698</v>
      </c>
      <c r="E9" s="21">
        <v>33</v>
      </c>
      <c r="F9" s="46" t="s">
        <v>1699</v>
      </c>
      <c r="G9" s="27"/>
      <c r="H9" s="47"/>
      <c r="I9" s="47"/>
      <c r="J9" s="229"/>
      <c r="K9" s="28"/>
      <c r="L9" s="28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</row>
    <row r="10" spans="1:27" ht="18.75">
      <c r="A10" s="121"/>
      <c r="B10" s="20" t="str">
        <f t="shared" si="0"/>
        <v>3950</v>
      </c>
      <c r="C10" s="21"/>
      <c r="D10" s="63" t="s">
        <v>1700</v>
      </c>
      <c r="E10" s="21">
        <v>33</v>
      </c>
      <c r="F10" s="46" t="s">
        <v>1701</v>
      </c>
      <c r="G10" s="27"/>
      <c r="H10" s="47"/>
      <c r="I10" s="47"/>
      <c r="J10" s="229"/>
      <c r="K10" s="28"/>
      <c r="L10" s="28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</row>
    <row r="11" spans="1:27" ht="37.5">
      <c r="A11" s="121"/>
      <c r="B11" s="20" t="str">
        <f t="shared" si="0"/>
        <v>4120</v>
      </c>
      <c r="C11" s="21"/>
      <c r="D11" s="63" t="s">
        <v>1702</v>
      </c>
      <c r="E11" s="21">
        <v>33</v>
      </c>
      <c r="F11" s="46" t="s">
        <v>1703</v>
      </c>
      <c r="G11" s="27"/>
      <c r="H11" s="47"/>
      <c r="I11" s="47"/>
      <c r="J11" s="229"/>
      <c r="K11" s="28"/>
      <c r="L11" s="28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</row>
    <row r="12" spans="1:27" ht="37.5">
      <c r="A12" s="121"/>
      <c r="B12" s="20" t="str">
        <f t="shared" si="0"/>
        <v>4120</v>
      </c>
      <c r="C12" s="21"/>
      <c r="D12" s="63" t="s">
        <v>1704</v>
      </c>
      <c r="E12" s="21">
        <v>33</v>
      </c>
      <c r="F12" s="46" t="s">
        <v>1703</v>
      </c>
      <c r="G12" s="27"/>
      <c r="H12" s="47"/>
      <c r="I12" s="47"/>
      <c r="J12" s="229"/>
      <c r="K12" s="28"/>
      <c r="L12" s="28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</row>
    <row r="13" spans="1:27" ht="18.75">
      <c r="A13" s="121"/>
      <c r="B13" s="20" t="str">
        <f t="shared" si="0"/>
        <v>4210</v>
      </c>
      <c r="C13" s="21"/>
      <c r="D13" s="63" t="s">
        <v>1705</v>
      </c>
      <c r="E13" s="21">
        <v>33</v>
      </c>
      <c r="F13" s="46" t="s">
        <v>1706</v>
      </c>
      <c r="G13" s="27"/>
      <c r="H13" s="47"/>
      <c r="I13" s="47"/>
      <c r="J13" s="229"/>
      <c r="K13" s="28"/>
      <c r="L13" s="28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</row>
    <row r="14" spans="1:27" ht="18.75">
      <c r="A14" s="121"/>
      <c r="B14" s="20" t="str">
        <f t="shared" si="0"/>
        <v>4210</v>
      </c>
      <c r="C14" s="21"/>
      <c r="D14" s="63" t="s">
        <v>1707</v>
      </c>
      <c r="E14" s="21">
        <v>33</v>
      </c>
      <c r="F14" s="46" t="s">
        <v>1708</v>
      </c>
      <c r="G14" s="27"/>
      <c r="H14" s="47"/>
      <c r="I14" s="47"/>
      <c r="J14" s="229"/>
      <c r="K14" s="28"/>
      <c r="L14" s="28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</row>
    <row r="15" spans="1:27" ht="37.5">
      <c r="A15" s="121"/>
      <c r="B15" s="20" t="str">
        <f t="shared" si="0"/>
        <v>4210</v>
      </c>
      <c r="C15" s="21"/>
      <c r="D15" s="63" t="s">
        <v>1709</v>
      </c>
      <c r="E15" s="21">
        <v>33</v>
      </c>
      <c r="F15" s="46" t="s">
        <v>1710</v>
      </c>
      <c r="G15" s="27"/>
      <c r="H15" s="47"/>
      <c r="I15" s="47"/>
      <c r="J15" s="229"/>
      <c r="K15" s="28"/>
      <c r="L15" s="28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</row>
    <row r="16" spans="1:27" ht="18.75">
      <c r="A16" s="121"/>
      <c r="B16" s="20" t="str">
        <f t="shared" si="0"/>
        <v>4310</v>
      </c>
      <c r="C16" s="21"/>
      <c r="D16" s="63" t="s">
        <v>1711</v>
      </c>
      <c r="E16" s="21">
        <v>33</v>
      </c>
      <c r="F16" s="46" t="s">
        <v>1712</v>
      </c>
      <c r="G16" s="27"/>
      <c r="H16" s="47"/>
      <c r="I16" s="47"/>
      <c r="J16" s="229"/>
      <c r="K16" s="28"/>
      <c r="L16" s="28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</row>
    <row r="17" spans="1:27" ht="18.75">
      <c r="A17" s="121"/>
      <c r="B17" s="20" t="str">
        <f t="shared" si="0"/>
        <v>4310</v>
      </c>
      <c r="C17" s="21"/>
      <c r="D17" s="63" t="s">
        <v>1713</v>
      </c>
      <c r="E17" s="21">
        <v>33</v>
      </c>
      <c r="F17" s="46" t="s">
        <v>1712</v>
      </c>
      <c r="G17" s="27"/>
      <c r="H17" s="47"/>
      <c r="I17" s="47"/>
      <c r="J17" s="229"/>
      <c r="K17" s="28"/>
      <c r="L17" s="28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</row>
    <row r="18" spans="1:27" ht="37.5">
      <c r="A18" s="121"/>
      <c r="B18" s="20" t="str">
        <f t="shared" si="0"/>
        <v>4461</v>
      </c>
      <c r="C18" s="21"/>
      <c r="D18" s="63" t="s">
        <v>1714</v>
      </c>
      <c r="E18" s="21">
        <v>33</v>
      </c>
      <c r="F18" s="46" t="s">
        <v>1715</v>
      </c>
      <c r="G18" s="27"/>
      <c r="H18" s="47"/>
      <c r="I18" s="47"/>
      <c r="J18" s="229"/>
      <c r="K18" s="28"/>
      <c r="L18" s="28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</row>
    <row r="19" spans="1:27" ht="18.75">
      <c r="A19" s="121"/>
      <c r="B19" s="20" t="str">
        <f t="shared" si="0"/>
        <v>4520</v>
      </c>
      <c r="C19" s="21"/>
      <c r="D19" s="63" t="s">
        <v>1716</v>
      </c>
      <c r="E19" s="21">
        <v>33</v>
      </c>
      <c r="F19" s="46" t="s">
        <v>1717</v>
      </c>
      <c r="G19" s="27"/>
      <c r="H19" s="47"/>
      <c r="I19" s="47"/>
      <c r="J19" s="229"/>
      <c r="K19" s="28"/>
      <c r="L19" s="28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</row>
    <row r="20" spans="1:27" ht="37.5">
      <c r="A20" s="121"/>
      <c r="B20" s="20" t="str">
        <f t="shared" si="0"/>
        <v>4520</v>
      </c>
      <c r="C20" s="21"/>
      <c r="D20" s="63" t="s">
        <v>1718</v>
      </c>
      <c r="E20" s="21">
        <v>33</v>
      </c>
      <c r="F20" s="46" t="s">
        <v>1719</v>
      </c>
      <c r="G20" s="27"/>
      <c r="H20" s="47"/>
      <c r="I20" s="47"/>
      <c r="J20" s="229"/>
      <c r="K20" s="28"/>
      <c r="L20" s="28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</row>
    <row r="21" spans="1:27" ht="37.5">
      <c r="A21" s="121"/>
      <c r="B21" s="20" t="str">
        <f t="shared" si="0"/>
        <v>4610</v>
      </c>
      <c r="C21" s="21"/>
      <c r="D21" s="63" t="s">
        <v>1720</v>
      </c>
      <c r="E21" s="21">
        <v>33</v>
      </c>
      <c r="F21" s="46" t="s">
        <v>1721</v>
      </c>
      <c r="G21" s="27"/>
      <c r="H21" s="47"/>
      <c r="I21" s="47"/>
      <c r="J21" s="229"/>
      <c r="K21" s="28"/>
      <c r="L21" s="28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</row>
    <row r="22" spans="1:27" ht="18.75">
      <c r="A22" s="121"/>
      <c r="B22" s="20" t="str">
        <f t="shared" si="0"/>
        <v>4930</v>
      </c>
      <c r="C22" s="21"/>
      <c r="D22" s="63" t="s">
        <v>1722</v>
      </c>
      <c r="E22" s="21">
        <v>33</v>
      </c>
      <c r="F22" s="46" t="s">
        <v>1723</v>
      </c>
      <c r="G22" s="27"/>
      <c r="H22" s="47"/>
      <c r="I22" s="47"/>
      <c r="J22" s="229"/>
      <c r="K22" s="28"/>
      <c r="L22" s="28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</row>
    <row r="23" spans="1:27" ht="18.75">
      <c r="A23" s="121"/>
      <c r="B23" s="20" t="str">
        <f t="shared" si="0"/>
        <v>4940</v>
      </c>
      <c r="C23" s="21"/>
      <c r="D23" s="63" t="s">
        <v>1724</v>
      </c>
      <c r="E23" s="21">
        <v>33</v>
      </c>
      <c r="F23" s="46" t="s">
        <v>1725</v>
      </c>
      <c r="G23" s="27"/>
      <c r="H23" s="47"/>
      <c r="I23" s="47"/>
      <c r="J23" s="229"/>
      <c r="K23" s="28"/>
      <c r="L23" s="28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</row>
    <row r="24" spans="1:27" ht="18.75">
      <c r="A24" s="121"/>
      <c r="B24" s="20" t="str">
        <f t="shared" si="0"/>
        <v>5110</v>
      </c>
      <c r="C24" s="21"/>
      <c r="D24" s="63" t="s">
        <v>1726</v>
      </c>
      <c r="E24" s="21">
        <v>33</v>
      </c>
      <c r="F24" s="46" t="s">
        <v>1727</v>
      </c>
      <c r="G24" s="27"/>
      <c r="H24" s="47"/>
      <c r="I24" s="47"/>
      <c r="J24" s="229"/>
      <c r="K24" s="28"/>
      <c r="L24" s="28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</row>
    <row r="25" spans="1:27" ht="37.5">
      <c r="A25" s="121"/>
      <c r="B25" s="20" t="str">
        <f t="shared" si="0"/>
        <v>5110</v>
      </c>
      <c r="C25" s="21"/>
      <c r="D25" s="63" t="s">
        <v>1728</v>
      </c>
      <c r="E25" s="21">
        <v>33</v>
      </c>
      <c r="F25" s="46" t="s">
        <v>1729</v>
      </c>
      <c r="G25" s="27"/>
      <c r="H25" s="47"/>
      <c r="I25" s="47"/>
      <c r="J25" s="229"/>
      <c r="K25" s="28"/>
      <c r="L25" s="28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</row>
    <row r="26" spans="1:27" ht="37.5">
      <c r="A26" s="121"/>
      <c r="B26" s="20" t="str">
        <f t="shared" si="0"/>
        <v>5110</v>
      </c>
      <c r="C26" s="21"/>
      <c r="D26" s="63" t="s">
        <v>1730</v>
      </c>
      <c r="E26" s="21">
        <v>33</v>
      </c>
      <c r="F26" s="46" t="s">
        <v>1731</v>
      </c>
      <c r="G26" s="27"/>
      <c r="H26" s="47"/>
      <c r="I26" s="47"/>
      <c r="J26" s="229"/>
      <c r="K26" s="28"/>
      <c r="L26" s="28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</row>
    <row r="27" spans="1:27" ht="18.75">
      <c r="A27" s="121"/>
      <c r="B27" s="20" t="str">
        <f t="shared" si="0"/>
        <v>5130</v>
      </c>
      <c r="C27" s="21"/>
      <c r="D27" s="63" t="s">
        <v>1732</v>
      </c>
      <c r="E27" s="21">
        <v>33</v>
      </c>
      <c r="F27" s="46" t="s">
        <v>1733</v>
      </c>
      <c r="G27" s="27"/>
      <c r="H27" s="47"/>
      <c r="I27" s="47"/>
      <c r="J27" s="229"/>
      <c r="K27" s="28"/>
      <c r="L27" s="28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</row>
    <row r="28" spans="1:27" ht="18.75">
      <c r="A28" s="121"/>
      <c r="B28" s="20" t="str">
        <f t="shared" si="0"/>
        <v>5130</v>
      </c>
      <c r="C28" s="21"/>
      <c r="D28" s="63" t="s">
        <v>1734</v>
      </c>
      <c r="E28" s="21">
        <v>33</v>
      </c>
      <c r="F28" s="46" t="s">
        <v>1735</v>
      </c>
      <c r="G28" s="27"/>
      <c r="H28" s="47"/>
      <c r="I28" s="47"/>
      <c r="J28" s="229"/>
      <c r="K28" s="28"/>
      <c r="L28" s="28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</row>
    <row r="29" spans="1:27" ht="18.75">
      <c r="A29" s="121"/>
      <c r="B29" s="20" t="str">
        <f t="shared" si="0"/>
        <v>5136</v>
      </c>
      <c r="C29" s="21"/>
      <c r="D29" s="63" t="s">
        <v>1736</v>
      </c>
      <c r="E29" s="21">
        <v>33</v>
      </c>
      <c r="F29" s="46" t="s">
        <v>1737</v>
      </c>
      <c r="G29" s="27"/>
      <c r="H29" s="47"/>
      <c r="I29" s="47"/>
      <c r="J29" s="229"/>
      <c r="K29" s="28"/>
      <c r="L29" s="28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</row>
    <row r="30" spans="1:27" ht="18.75">
      <c r="A30" s="121"/>
      <c r="B30" s="20" t="str">
        <f t="shared" si="0"/>
        <v>5210</v>
      </c>
      <c r="C30" s="21"/>
      <c r="D30" s="63" t="s">
        <v>1738</v>
      </c>
      <c r="E30" s="21">
        <v>33</v>
      </c>
      <c r="F30" s="46" t="s">
        <v>1739</v>
      </c>
      <c r="G30" s="27"/>
      <c r="H30" s="47"/>
      <c r="I30" s="47"/>
      <c r="J30" s="229"/>
      <c r="K30" s="28"/>
      <c r="L30" s="28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</row>
    <row r="31" spans="1:27" ht="18.75">
      <c r="A31" s="121"/>
      <c r="B31" s="20" t="str">
        <f t="shared" si="0"/>
        <v>5335</v>
      </c>
      <c r="C31" s="21"/>
      <c r="D31" s="63" t="s">
        <v>1740</v>
      </c>
      <c r="E31" s="21">
        <v>33</v>
      </c>
      <c r="F31" s="46" t="s">
        <v>1741</v>
      </c>
      <c r="G31" s="27"/>
      <c r="H31" s="47"/>
      <c r="I31" s="47"/>
      <c r="J31" s="229"/>
      <c r="K31" s="28"/>
      <c r="L31" s="28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</row>
    <row r="32" spans="1:27" ht="18.75">
      <c r="A32" s="121"/>
      <c r="B32" s="20" t="str">
        <f t="shared" si="0"/>
        <v>5335</v>
      </c>
      <c r="C32" s="21"/>
      <c r="D32" s="63" t="s">
        <v>1742</v>
      </c>
      <c r="E32" s="21">
        <v>33</v>
      </c>
      <c r="F32" s="46" t="s">
        <v>1743</v>
      </c>
      <c r="G32" s="27"/>
      <c r="H32" s="47"/>
      <c r="I32" s="47"/>
      <c r="J32" s="229"/>
      <c r="K32" s="28"/>
      <c r="L32" s="28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</row>
    <row r="33" spans="1:27" ht="18.75">
      <c r="A33" s="121"/>
      <c r="B33" s="20" t="str">
        <f t="shared" si="0"/>
        <v>5345</v>
      </c>
      <c r="C33" s="21"/>
      <c r="D33" s="63" t="s">
        <v>1744</v>
      </c>
      <c r="E33" s="21">
        <v>33</v>
      </c>
      <c r="F33" s="46" t="s">
        <v>1745</v>
      </c>
      <c r="G33" s="27"/>
      <c r="H33" s="47"/>
      <c r="I33" s="47"/>
      <c r="J33" s="229"/>
      <c r="K33" s="28"/>
      <c r="L33" s="28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</row>
    <row r="34" spans="1:27" ht="18.75">
      <c r="A34" s="121"/>
      <c r="B34" s="20" t="str">
        <f t="shared" si="0"/>
        <v>6125</v>
      </c>
      <c r="C34" s="21"/>
      <c r="D34" s="63" t="s">
        <v>1746</v>
      </c>
      <c r="E34" s="21">
        <v>33</v>
      </c>
      <c r="F34" s="46" t="s">
        <v>1747</v>
      </c>
      <c r="G34" s="27"/>
      <c r="H34" s="47"/>
      <c r="I34" s="47"/>
      <c r="J34" s="229"/>
      <c r="K34" s="28"/>
      <c r="L34" s="28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</row>
    <row r="35" spans="1:27" ht="18.75">
      <c r="A35" s="121"/>
      <c r="B35" s="20" t="str">
        <f t="shared" si="0"/>
        <v>6125</v>
      </c>
      <c r="C35" s="21"/>
      <c r="D35" s="63" t="s">
        <v>1748</v>
      </c>
      <c r="E35" s="21">
        <v>33</v>
      </c>
      <c r="F35" s="46" t="s">
        <v>1749</v>
      </c>
      <c r="G35" s="27"/>
      <c r="H35" s="47"/>
      <c r="I35" s="47"/>
      <c r="J35" s="229"/>
      <c r="K35" s="28"/>
      <c r="L35" s="28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</row>
    <row r="36" spans="1:27" ht="18.75">
      <c r="A36" s="121"/>
      <c r="B36" s="20" t="str">
        <f t="shared" si="0"/>
        <v>6130</v>
      </c>
      <c r="C36" s="21"/>
      <c r="D36" s="63" t="s">
        <v>1750</v>
      </c>
      <c r="E36" s="21">
        <v>33</v>
      </c>
      <c r="F36" s="46" t="s">
        <v>1751</v>
      </c>
      <c r="G36" s="27"/>
      <c r="H36" s="47"/>
      <c r="I36" s="47"/>
      <c r="J36" s="229"/>
      <c r="K36" s="28"/>
      <c r="L36" s="28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</row>
    <row r="37" spans="1:27" ht="18.75">
      <c r="A37" s="121"/>
      <c r="B37" s="20" t="str">
        <f t="shared" si="0"/>
        <v>6630</v>
      </c>
      <c r="C37" s="21"/>
      <c r="D37" s="63" t="s">
        <v>1752</v>
      </c>
      <c r="E37" s="21">
        <v>33</v>
      </c>
      <c r="F37" s="46" t="s">
        <v>1753</v>
      </c>
      <c r="G37" s="27"/>
      <c r="H37" s="47"/>
      <c r="I37" s="47"/>
      <c r="J37" s="229"/>
      <c r="K37" s="28"/>
      <c r="L37" s="28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</row>
    <row r="38" spans="1:27" ht="18.75">
      <c r="A38" s="121"/>
      <c r="B38" s="20" t="str">
        <f t="shared" si="0"/>
        <v>6630</v>
      </c>
      <c r="C38" s="21"/>
      <c r="D38" s="63" t="s">
        <v>1754</v>
      </c>
      <c r="E38" s="21">
        <v>33</v>
      </c>
      <c r="F38" s="46" t="s">
        <v>1755</v>
      </c>
      <c r="G38" s="27"/>
      <c r="H38" s="47"/>
      <c r="I38" s="47"/>
      <c r="J38" s="229"/>
      <c r="K38" s="28"/>
      <c r="L38" s="28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</row>
    <row r="39" spans="1:27" ht="18.75">
      <c r="A39" s="121"/>
      <c r="B39" s="20" t="str">
        <f t="shared" si="0"/>
        <v>6630</v>
      </c>
      <c r="C39" s="21"/>
      <c r="D39" s="63" t="s">
        <v>1756</v>
      </c>
      <c r="E39" s="21">
        <v>33</v>
      </c>
      <c r="F39" s="46" t="s">
        <v>1757</v>
      </c>
      <c r="G39" s="27"/>
      <c r="H39" s="47"/>
      <c r="I39" s="47"/>
      <c r="J39" s="229"/>
      <c r="K39" s="28"/>
      <c r="L39" s="28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</row>
    <row r="40" spans="1:27" ht="18.75">
      <c r="A40" s="121"/>
      <c r="B40" s="20" t="str">
        <f t="shared" si="0"/>
        <v>6630</v>
      </c>
      <c r="C40" s="21"/>
      <c r="D40" s="63" t="s">
        <v>1758</v>
      </c>
      <c r="E40" s="21">
        <v>33</v>
      </c>
      <c r="F40" s="46" t="s">
        <v>1759</v>
      </c>
      <c r="G40" s="27"/>
      <c r="H40" s="47"/>
      <c r="I40" s="47"/>
      <c r="J40" s="229"/>
      <c r="K40" s="28"/>
      <c r="L40" s="28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</row>
    <row r="41" spans="1:27" ht="18.75">
      <c r="A41" s="121"/>
      <c r="B41" s="20" t="str">
        <f t="shared" si="0"/>
        <v>6635</v>
      </c>
      <c r="C41" s="21"/>
      <c r="D41" s="63" t="s">
        <v>1760</v>
      </c>
      <c r="E41" s="21">
        <v>33</v>
      </c>
      <c r="F41" s="46" t="s">
        <v>1761</v>
      </c>
      <c r="G41" s="27"/>
      <c r="H41" s="47"/>
      <c r="I41" s="47"/>
      <c r="J41" s="229"/>
      <c r="K41" s="28"/>
      <c r="L41" s="28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</row>
    <row r="42" spans="1:27" ht="18.75">
      <c r="A42" s="121"/>
      <c r="B42" s="20" t="str">
        <f t="shared" si="0"/>
        <v>6635</v>
      </c>
      <c r="C42" s="21"/>
      <c r="D42" s="63" t="s">
        <v>1762</v>
      </c>
      <c r="E42" s="21">
        <v>33</v>
      </c>
      <c r="F42" s="46" t="s">
        <v>1763</v>
      </c>
      <c r="G42" s="27"/>
      <c r="H42" s="47"/>
      <c r="I42" s="47"/>
      <c r="J42" s="229"/>
      <c r="K42" s="28"/>
      <c r="L42" s="28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</row>
    <row r="43" spans="1:27" ht="18.75">
      <c r="A43" s="121"/>
      <c r="B43" s="20" t="str">
        <f t="shared" si="0"/>
        <v>6635</v>
      </c>
      <c r="C43" s="21"/>
      <c r="D43" s="63" t="s">
        <v>1764</v>
      </c>
      <c r="E43" s="21">
        <v>33</v>
      </c>
      <c r="F43" s="46" t="s">
        <v>1763</v>
      </c>
      <c r="G43" s="27"/>
      <c r="H43" s="47"/>
      <c r="I43" s="47"/>
      <c r="J43" s="229"/>
      <c r="K43" s="28"/>
      <c r="L43" s="28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</row>
    <row r="44" spans="1:27" ht="18.75">
      <c r="A44" s="121"/>
      <c r="B44" s="20" t="str">
        <f t="shared" si="0"/>
        <v>6635</v>
      </c>
      <c r="C44" s="21"/>
      <c r="D44" s="63" t="s">
        <v>1765</v>
      </c>
      <c r="E44" s="21">
        <v>33</v>
      </c>
      <c r="F44" s="46" t="s">
        <v>1766</v>
      </c>
      <c r="G44" s="27"/>
      <c r="H44" s="47"/>
      <c r="I44" s="47"/>
      <c r="J44" s="229"/>
      <c r="K44" s="28"/>
      <c r="L44" s="28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</row>
    <row r="45" spans="1:27" ht="18.75">
      <c r="A45" s="121"/>
      <c r="B45" s="20" t="str">
        <f t="shared" si="0"/>
        <v>6635</v>
      </c>
      <c r="C45" s="21"/>
      <c r="D45" s="63" t="s">
        <v>1767</v>
      </c>
      <c r="E45" s="21">
        <v>33</v>
      </c>
      <c r="F45" s="46" t="s">
        <v>1768</v>
      </c>
      <c r="G45" s="27"/>
      <c r="H45" s="47"/>
      <c r="I45" s="47"/>
      <c r="J45" s="229"/>
      <c r="K45" s="28"/>
      <c r="L45" s="28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8.75">
      <c r="A46" s="121"/>
      <c r="B46" s="20" t="str">
        <f t="shared" si="0"/>
        <v>6635</v>
      </c>
      <c r="C46" s="21"/>
      <c r="D46" s="63" t="s">
        <v>1769</v>
      </c>
      <c r="E46" s="21">
        <v>33</v>
      </c>
      <c r="F46" s="46" t="s">
        <v>1770</v>
      </c>
      <c r="G46" s="27"/>
      <c r="H46" s="47"/>
      <c r="I46" s="47"/>
      <c r="J46" s="229"/>
      <c r="K46" s="28"/>
      <c r="L46" s="28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27" ht="18.75">
      <c r="A47" s="121"/>
      <c r="B47" s="20" t="str">
        <f t="shared" si="0"/>
        <v>6635</v>
      </c>
      <c r="C47" s="21"/>
      <c r="D47" s="63" t="s">
        <v>1771</v>
      </c>
      <c r="E47" s="21">
        <v>33</v>
      </c>
      <c r="F47" s="46" t="s">
        <v>1772</v>
      </c>
      <c r="G47" s="27"/>
      <c r="H47" s="47"/>
      <c r="I47" s="47"/>
      <c r="J47" s="229"/>
      <c r="K47" s="28"/>
      <c r="L47" s="28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1:27" ht="18.75">
      <c r="A48" s="121"/>
      <c r="B48" s="20" t="str">
        <f t="shared" si="0"/>
        <v>6635</v>
      </c>
      <c r="C48" s="21"/>
      <c r="D48" s="63" t="s">
        <v>1773</v>
      </c>
      <c r="E48" s="21">
        <v>33</v>
      </c>
      <c r="F48" s="46" t="s">
        <v>1774</v>
      </c>
      <c r="G48" s="27"/>
      <c r="H48" s="47"/>
      <c r="I48" s="47"/>
      <c r="J48" s="229"/>
      <c r="K48" s="28"/>
      <c r="L48" s="28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49" spans="1:27" ht="18.75">
      <c r="A49" s="121"/>
      <c r="B49" s="20" t="str">
        <f t="shared" si="0"/>
        <v>6635</v>
      </c>
      <c r="C49" s="21"/>
      <c r="D49" s="63" t="s">
        <v>1775</v>
      </c>
      <c r="E49" s="21">
        <v>33</v>
      </c>
      <c r="F49" s="46" t="s">
        <v>1776</v>
      </c>
      <c r="G49" s="27"/>
      <c r="H49" s="47"/>
      <c r="I49" s="47"/>
      <c r="J49" s="229"/>
      <c r="K49" s="28"/>
      <c r="L49" s="28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</row>
    <row r="50" spans="1:27" ht="18.75">
      <c r="A50" s="121"/>
      <c r="B50" s="20" t="str">
        <f t="shared" si="0"/>
        <v>6635</v>
      </c>
      <c r="C50" s="21"/>
      <c r="D50" s="63" t="s">
        <v>1777</v>
      </c>
      <c r="E50" s="21">
        <v>33</v>
      </c>
      <c r="F50" s="46" t="s">
        <v>1778</v>
      </c>
      <c r="G50" s="27"/>
      <c r="H50" s="47"/>
      <c r="I50" s="47"/>
      <c r="J50" s="229"/>
      <c r="K50" s="28"/>
      <c r="L50" s="28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</row>
    <row r="51" spans="1:27" ht="18.75">
      <c r="A51" s="121"/>
      <c r="B51" s="20" t="str">
        <f t="shared" si="0"/>
        <v>6670</v>
      </c>
      <c r="C51" s="21"/>
      <c r="D51" s="63" t="s">
        <v>1779</v>
      </c>
      <c r="E51" s="21">
        <v>33</v>
      </c>
      <c r="F51" s="46" t="s">
        <v>1780</v>
      </c>
      <c r="G51" s="27"/>
      <c r="H51" s="47"/>
      <c r="I51" s="47"/>
      <c r="J51" s="229"/>
      <c r="K51" s="28"/>
      <c r="L51" s="28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</row>
    <row r="52" spans="1:27" ht="18.75">
      <c r="A52" s="121"/>
      <c r="B52" s="20" t="str">
        <f t="shared" si="0"/>
        <v>6670</v>
      </c>
      <c r="C52" s="21"/>
      <c r="D52" s="63" t="s">
        <v>1781</v>
      </c>
      <c r="E52" s="21">
        <v>33</v>
      </c>
      <c r="F52" s="46" t="s">
        <v>1782</v>
      </c>
      <c r="G52" s="27"/>
      <c r="H52" s="47"/>
      <c r="I52" s="47"/>
      <c r="J52" s="229"/>
      <c r="K52" s="28"/>
      <c r="L52" s="28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</row>
    <row r="53" spans="1:27" ht="18.75">
      <c r="A53" s="121"/>
      <c r="B53" s="20" t="str">
        <f t="shared" si="0"/>
        <v>6680</v>
      </c>
      <c r="C53" s="21"/>
      <c r="D53" s="63" t="s">
        <v>1783</v>
      </c>
      <c r="E53" s="21">
        <v>33</v>
      </c>
      <c r="F53" s="46" t="s">
        <v>1784</v>
      </c>
      <c r="G53" s="27"/>
      <c r="H53" s="47"/>
      <c r="I53" s="47"/>
      <c r="J53" s="229"/>
      <c r="K53" s="28"/>
      <c r="L53" s="28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</row>
    <row r="54" spans="1:27" ht="18.75">
      <c r="A54" s="121"/>
      <c r="B54" s="20" t="str">
        <f t="shared" si="0"/>
        <v>6680</v>
      </c>
      <c r="C54" s="21"/>
      <c r="D54" s="63" t="s">
        <v>1785</v>
      </c>
      <c r="E54" s="21">
        <v>33</v>
      </c>
      <c r="F54" s="46" t="s">
        <v>1786</v>
      </c>
      <c r="G54" s="27"/>
      <c r="H54" s="47"/>
      <c r="I54" s="47"/>
      <c r="J54" s="229"/>
      <c r="K54" s="28"/>
      <c r="L54" s="28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</row>
    <row r="55" spans="1:27" ht="18.75">
      <c r="A55" s="121"/>
      <c r="B55" s="20" t="str">
        <f t="shared" si="0"/>
        <v>6680</v>
      </c>
      <c r="C55" s="21"/>
      <c r="D55" s="63" t="s">
        <v>1787</v>
      </c>
      <c r="E55" s="21">
        <v>33</v>
      </c>
      <c r="F55" s="46" t="s">
        <v>1788</v>
      </c>
      <c r="G55" s="27"/>
      <c r="H55" s="47"/>
      <c r="I55" s="47"/>
      <c r="J55" s="229"/>
      <c r="K55" s="28"/>
      <c r="L55" s="28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</row>
    <row r="56" spans="1:27" ht="18.75">
      <c r="A56" s="121"/>
      <c r="B56" s="20" t="str">
        <f t="shared" si="0"/>
        <v>6685</v>
      </c>
      <c r="C56" s="21"/>
      <c r="D56" s="63" t="s">
        <v>1789</v>
      </c>
      <c r="E56" s="21">
        <v>33</v>
      </c>
      <c r="F56" s="46" t="s">
        <v>1790</v>
      </c>
      <c r="G56" s="27"/>
      <c r="H56" s="47"/>
      <c r="I56" s="47"/>
      <c r="J56" s="229"/>
      <c r="K56" s="28"/>
      <c r="L56" s="28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</row>
    <row r="57" spans="1:27" ht="18.75">
      <c r="A57" s="121"/>
      <c r="B57" s="20" t="str">
        <f t="shared" si="0"/>
        <v>6850</v>
      </c>
      <c r="C57" s="21"/>
      <c r="D57" s="63" t="s">
        <v>1791</v>
      </c>
      <c r="E57" s="21">
        <v>33</v>
      </c>
      <c r="F57" s="46" t="s">
        <v>1792</v>
      </c>
      <c r="G57" s="27"/>
      <c r="H57" s="47"/>
      <c r="I57" s="47"/>
      <c r="J57" s="229"/>
      <c r="K57" s="28"/>
      <c r="L57" s="28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</row>
    <row r="58" spans="1:27" ht="18.75">
      <c r="A58" s="121"/>
      <c r="B58" s="20" t="str">
        <f t="shared" si="0"/>
        <v>2320</v>
      </c>
      <c r="C58" s="21"/>
      <c r="D58" s="63" t="s">
        <v>1793</v>
      </c>
      <c r="E58" s="21">
        <v>34</v>
      </c>
      <c r="F58" s="46" t="s">
        <v>1794</v>
      </c>
      <c r="G58" s="27"/>
      <c r="H58" s="47"/>
      <c r="I58" s="47"/>
      <c r="J58" s="229"/>
      <c r="K58" s="28"/>
      <c r="L58" s="28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</row>
    <row r="59" spans="1:27" ht="18.75">
      <c r="A59" s="121"/>
      <c r="B59" s="20" t="str">
        <f t="shared" si="0"/>
        <v>2320</v>
      </c>
      <c r="C59" s="21"/>
      <c r="D59" s="63" t="s">
        <v>1795</v>
      </c>
      <c r="E59" s="21">
        <v>34</v>
      </c>
      <c r="F59" s="46" t="s">
        <v>1796</v>
      </c>
      <c r="G59" s="27"/>
      <c r="H59" s="47"/>
      <c r="I59" s="47"/>
      <c r="J59" s="229"/>
      <c r="K59" s="28"/>
      <c r="L59" s="28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</row>
    <row r="60" spans="1:27" ht="18.75">
      <c r="A60" s="121"/>
      <c r="B60" s="20" t="str">
        <f t="shared" si="0"/>
        <v>3220</v>
      </c>
      <c r="C60" s="21"/>
      <c r="D60" s="63" t="s">
        <v>1797</v>
      </c>
      <c r="E60" s="21">
        <v>34</v>
      </c>
      <c r="F60" s="46" t="s">
        <v>1798</v>
      </c>
      <c r="G60" s="27"/>
      <c r="H60" s="47"/>
      <c r="I60" s="47"/>
      <c r="J60" s="229"/>
      <c r="K60" s="28"/>
      <c r="L60" s="28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</row>
    <row r="61" spans="1:27" ht="18.75">
      <c r="A61" s="121"/>
      <c r="B61" s="20" t="str">
        <f t="shared" si="0"/>
        <v>3220</v>
      </c>
      <c r="C61" s="21"/>
      <c r="D61" s="63" t="s">
        <v>1799</v>
      </c>
      <c r="E61" s="21">
        <v>34</v>
      </c>
      <c r="F61" s="46" t="s">
        <v>1800</v>
      </c>
      <c r="G61" s="27"/>
      <c r="H61" s="47"/>
      <c r="I61" s="47"/>
      <c r="J61" s="229"/>
      <c r="K61" s="28"/>
      <c r="L61" s="28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</row>
    <row r="62" spans="1:27" ht="18.75">
      <c r="A62" s="121"/>
      <c r="B62" s="20" t="str">
        <f t="shared" si="0"/>
        <v>3230</v>
      </c>
      <c r="C62" s="21"/>
      <c r="D62" s="63" t="s">
        <v>1801</v>
      </c>
      <c r="E62" s="21">
        <v>34</v>
      </c>
      <c r="F62" s="46" t="s">
        <v>1802</v>
      </c>
      <c r="G62" s="27"/>
      <c r="H62" s="47"/>
      <c r="I62" s="47"/>
      <c r="J62" s="229"/>
      <c r="K62" s="28"/>
      <c r="L62" s="28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</row>
    <row r="63" spans="1:27" ht="18.75">
      <c r="A63" s="121"/>
      <c r="B63" s="20" t="str">
        <f t="shared" si="0"/>
        <v>3405</v>
      </c>
      <c r="C63" s="21"/>
      <c r="D63" s="63" t="s">
        <v>1803</v>
      </c>
      <c r="E63" s="21">
        <v>34</v>
      </c>
      <c r="F63" s="46" t="s">
        <v>1804</v>
      </c>
      <c r="G63" s="27"/>
      <c r="H63" s="47"/>
      <c r="I63" s="47"/>
      <c r="J63" s="229"/>
      <c r="K63" s="28"/>
      <c r="L63" s="28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</row>
    <row r="64" spans="1:27" ht="18.75">
      <c r="A64" s="121"/>
      <c r="B64" s="20" t="str">
        <f t="shared" si="0"/>
        <v>3413</v>
      </c>
      <c r="C64" s="21"/>
      <c r="D64" s="63" t="s">
        <v>1805</v>
      </c>
      <c r="E64" s="21">
        <v>34</v>
      </c>
      <c r="F64" s="46" t="s">
        <v>1806</v>
      </c>
      <c r="G64" s="27"/>
      <c r="H64" s="47"/>
      <c r="I64" s="47"/>
      <c r="J64" s="229"/>
      <c r="K64" s="28"/>
      <c r="L64" s="28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</row>
    <row r="65" spans="1:27" ht="18.75">
      <c r="A65" s="121"/>
      <c r="B65" s="20" t="str">
        <f t="shared" si="0"/>
        <v>3439</v>
      </c>
      <c r="C65" s="21"/>
      <c r="D65" s="63" t="s">
        <v>1807</v>
      </c>
      <c r="E65" s="21">
        <v>34</v>
      </c>
      <c r="F65" s="46" t="s">
        <v>1808</v>
      </c>
      <c r="G65" s="27"/>
      <c r="H65" s="47"/>
      <c r="I65" s="47"/>
      <c r="J65" s="229"/>
      <c r="K65" s="28"/>
      <c r="L65" s="28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</row>
    <row r="66" spans="1:27" ht="18.75">
      <c r="A66" s="121"/>
      <c r="B66" s="20" t="str">
        <f t="shared" ref="B66:B129" si="1">LEFT(D66, SEARCH("",D66,4))</f>
        <v>3439</v>
      </c>
      <c r="C66" s="21"/>
      <c r="D66" s="63" t="s">
        <v>1809</v>
      </c>
      <c r="E66" s="21">
        <v>34</v>
      </c>
      <c r="F66" s="46" t="s">
        <v>1810</v>
      </c>
      <c r="G66" s="27"/>
      <c r="H66" s="47"/>
      <c r="I66" s="47"/>
      <c r="J66" s="229"/>
      <c r="K66" s="28"/>
      <c r="L66" s="28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</row>
    <row r="67" spans="1:27" ht="18.75">
      <c r="A67" s="121"/>
      <c r="B67" s="20" t="str">
        <f t="shared" si="1"/>
        <v>3439</v>
      </c>
      <c r="C67" s="21"/>
      <c r="D67" s="63" t="s">
        <v>1811</v>
      </c>
      <c r="E67" s="21">
        <v>34</v>
      </c>
      <c r="F67" s="46" t="s">
        <v>1812</v>
      </c>
      <c r="G67" s="27"/>
      <c r="H67" s="47"/>
      <c r="I67" s="47"/>
      <c r="J67" s="229"/>
      <c r="K67" s="28"/>
      <c r="L67" s="28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</row>
    <row r="68" spans="1:27" ht="18.75">
      <c r="A68" s="121"/>
      <c r="B68" s="20" t="str">
        <f t="shared" si="1"/>
        <v>3442</v>
      </c>
      <c r="C68" s="21"/>
      <c r="D68" s="63" t="s">
        <v>1813</v>
      </c>
      <c r="E68" s="21">
        <v>34</v>
      </c>
      <c r="F68" s="46" t="s">
        <v>1814</v>
      </c>
      <c r="G68" s="27"/>
      <c r="H68" s="47"/>
      <c r="I68" s="47"/>
      <c r="J68" s="229"/>
      <c r="K68" s="28"/>
      <c r="L68" s="28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</row>
    <row r="69" spans="1:27" ht="18.75">
      <c r="A69" s="121"/>
      <c r="B69" s="20" t="str">
        <f t="shared" si="1"/>
        <v>3750</v>
      </c>
      <c r="C69" s="21"/>
      <c r="D69" s="63" t="s">
        <v>1815</v>
      </c>
      <c r="E69" s="21">
        <v>34</v>
      </c>
      <c r="F69" s="46" t="s">
        <v>1816</v>
      </c>
      <c r="G69" s="27"/>
      <c r="H69" s="47"/>
      <c r="I69" s="47"/>
      <c r="J69" s="229"/>
      <c r="K69" s="28"/>
      <c r="L69" s="28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</row>
    <row r="70" spans="1:27" ht="18.75">
      <c r="A70" s="121"/>
      <c r="B70" s="20" t="str">
        <f t="shared" si="1"/>
        <v>3895</v>
      </c>
      <c r="C70" s="21"/>
      <c r="D70" s="63" t="s">
        <v>1817</v>
      </c>
      <c r="E70" s="21">
        <v>34</v>
      </c>
      <c r="F70" s="46" t="s">
        <v>1818</v>
      </c>
      <c r="G70" s="27"/>
      <c r="H70" s="47"/>
      <c r="I70" s="47"/>
      <c r="J70" s="229"/>
      <c r="K70" s="28"/>
      <c r="L70" s="28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</row>
    <row r="71" spans="1:27" ht="18.75">
      <c r="A71" s="121"/>
      <c r="B71" s="20" t="str">
        <f t="shared" si="1"/>
        <v>3920</v>
      </c>
      <c r="C71" s="21"/>
      <c r="D71" s="63" t="s">
        <v>1819</v>
      </c>
      <c r="E71" s="21">
        <v>34</v>
      </c>
      <c r="F71" s="46" t="s">
        <v>1820</v>
      </c>
      <c r="G71" s="27"/>
      <c r="H71" s="47"/>
      <c r="I71" s="47"/>
      <c r="J71" s="229"/>
      <c r="K71" s="28"/>
      <c r="L71" s="28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</row>
    <row r="72" spans="1:27" ht="37.5">
      <c r="A72" s="121"/>
      <c r="B72" s="20" t="str">
        <f t="shared" si="1"/>
        <v>3930</v>
      </c>
      <c r="C72" s="21"/>
      <c r="D72" s="63" t="s">
        <v>1821</v>
      </c>
      <c r="E72" s="21">
        <v>34</v>
      </c>
      <c r="F72" s="46" t="s">
        <v>1822</v>
      </c>
      <c r="G72" s="27"/>
      <c r="H72" s="47"/>
      <c r="I72" s="47"/>
      <c r="J72" s="229"/>
      <c r="K72" s="28"/>
      <c r="L72" s="28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</row>
    <row r="73" spans="1:27" ht="18.75">
      <c r="A73" s="121"/>
      <c r="B73" s="20" t="str">
        <f t="shared" si="1"/>
        <v>3950</v>
      </c>
      <c r="C73" s="21"/>
      <c r="D73" s="63" t="s">
        <v>1823</v>
      </c>
      <c r="E73" s="21">
        <v>34</v>
      </c>
      <c r="F73" s="46" t="s">
        <v>1824</v>
      </c>
      <c r="G73" s="27"/>
      <c r="H73" s="47"/>
      <c r="I73" s="47"/>
      <c r="J73" s="229"/>
      <c r="K73" s="28"/>
      <c r="L73" s="28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</row>
    <row r="74" spans="1:27" ht="37.5">
      <c r="A74" s="121"/>
      <c r="B74" s="20" t="str">
        <f t="shared" si="1"/>
        <v>4120</v>
      </c>
      <c r="C74" s="21"/>
      <c r="D74" s="63" t="s">
        <v>1825</v>
      </c>
      <c r="E74" s="21">
        <v>34</v>
      </c>
      <c r="F74" s="46" t="s">
        <v>1826</v>
      </c>
      <c r="G74" s="27"/>
      <c r="H74" s="47"/>
      <c r="I74" s="47"/>
      <c r="J74" s="229"/>
      <c r="K74" s="28"/>
      <c r="L74" s="28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</row>
    <row r="75" spans="1:27" ht="37.5">
      <c r="A75" s="121"/>
      <c r="B75" s="20" t="str">
        <f t="shared" si="1"/>
        <v>4120</v>
      </c>
      <c r="C75" s="21"/>
      <c r="D75" s="63" t="s">
        <v>1827</v>
      </c>
      <c r="E75" s="21">
        <v>34</v>
      </c>
      <c r="F75" s="46" t="s">
        <v>1828</v>
      </c>
      <c r="G75" s="27"/>
      <c r="H75" s="47"/>
      <c r="I75" s="47"/>
      <c r="J75" s="229"/>
      <c r="K75" s="28"/>
      <c r="L75" s="28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</row>
    <row r="76" spans="1:27" ht="18.75">
      <c r="A76" s="121"/>
      <c r="B76" s="20" t="str">
        <f t="shared" si="1"/>
        <v>4210</v>
      </c>
      <c r="C76" s="21"/>
      <c r="D76" s="63" t="s">
        <v>1829</v>
      </c>
      <c r="E76" s="21">
        <v>34</v>
      </c>
      <c r="F76" s="46" t="s">
        <v>1830</v>
      </c>
      <c r="G76" s="27"/>
      <c r="H76" s="47"/>
      <c r="I76" s="47"/>
      <c r="J76" s="229"/>
      <c r="K76" s="28"/>
      <c r="L76" s="28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</row>
    <row r="77" spans="1:27" ht="18.75">
      <c r="A77" s="121"/>
      <c r="B77" s="20" t="str">
        <f t="shared" si="1"/>
        <v>4210</v>
      </c>
      <c r="C77" s="21"/>
      <c r="D77" s="63" t="s">
        <v>1831</v>
      </c>
      <c r="E77" s="21">
        <v>34</v>
      </c>
      <c r="F77" s="46" t="s">
        <v>1832</v>
      </c>
      <c r="G77" s="27"/>
      <c r="H77" s="47"/>
      <c r="I77" s="47"/>
      <c r="J77" s="229"/>
      <c r="K77" s="28"/>
      <c r="L77" s="28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</row>
    <row r="78" spans="1:27" ht="37.5">
      <c r="A78" s="121"/>
      <c r="B78" s="20" t="str">
        <f t="shared" si="1"/>
        <v>4240</v>
      </c>
      <c r="C78" s="21"/>
      <c r="D78" s="63" t="s">
        <v>1833</v>
      </c>
      <c r="E78" s="21">
        <v>34</v>
      </c>
      <c r="F78" s="46" t="s">
        <v>1834</v>
      </c>
      <c r="G78" s="27"/>
      <c r="H78" s="47"/>
      <c r="I78" s="47"/>
      <c r="J78" s="229"/>
      <c r="K78" s="28"/>
      <c r="L78" s="28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</row>
    <row r="79" spans="1:27" ht="37.5">
      <c r="A79" s="121"/>
      <c r="B79" s="20" t="str">
        <f t="shared" si="1"/>
        <v>4240</v>
      </c>
      <c r="C79" s="21"/>
      <c r="D79" s="63" t="s">
        <v>1835</v>
      </c>
      <c r="E79" s="21">
        <v>34</v>
      </c>
      <c r="F79" s="46" t="s">
        <v>1836</v>
      </c>
      <c r="G79" s="27"/>
      <c r="H79" s="47"/>
      <c r="I79" s="47"/>
      <c r="J79" s="229"/>
      <c r="K79" s="28"/>
      <c r="L79" s="28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</row>
    <row r="80" spans="1:27" ht="18.75">
      <c r="A80" s="121"/>
      <c r="B80" s="20" t="str">
        <f t="shared" si="1"/>
        <v>4310</v>
      </c>
      <c r="C80" s="21"/>
      <c r="D80" s="63" t="s">
        <v>1837</v>
      </c>
      <c r="E80" s="21">
        <v>34</v>
      </c>
      <c r="F80" s="46" t="s">
        <v>1838</v>
      </c>
      <c r="G80" s="27"/>
      <c r="H80" s="47"/>
      <c r="I80" s="47"/>
      <c r="J80" s="229"/>
      <c r="K80" s="28"/>
      <c r="L80" s="28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</row>
    <row r="81" spans="1:27" ht="37.5">
      <c r="A81" s="121"/>
      <c r="B81" s="20" t="str">
        <f t="shared" si="1"/>
        <v>4320</v>
      </c>
      <c r="C81" s="21"/>
      <c r="D81" s="63" t="s">
        <v>1839</v>
      </c>
      <c r="E81" s="21">
        <v>34</v>
      </c>
      <c r="F81" s="46" t="s">
        <v>1840</v>
      </c>
      <c r="G81" s="27"/>
      <c r="H81" s="47"/>
      <c r="I81" s="47"/>
      <c r="J81" s="229"/>
      <c r="K81" s="28"/>
      <c r="L81" s="28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</row>
    <row r="82" spans="1:27" ht="37.5">
      <c r="A82" s="121"/>
      <c r="B82" s="20" t="str">
        <f t="shared" si="1"/>
        <v>4320</v>
      </c>
      <c r="C82" s="21"/>
      <c r="D82" s="63" t="s">
        <v>1841</v>
      </c>
      <c r="E82" s="21">
        <v>34</v>
      </c>
      <c r="F82" s="46" t="s">
        <v>1842</v>
      </c>
      <c r="G82" s="27"/>
      <c r="H82" s="47"/>
      <c r="I82" s="47"/>
      <c r="J82" s="229"/>
      <c r="K82" s="28"/>
      <c r="L82" s="28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</row>
    <row r="83" spans="1:27" ht="18.75">
      <c r="A83" s="121"/>
      <c r="B83" s="20" t="str">
        <f t="shared" si="1"/>
        <v>4430</v>
      </c>
      <c r="C83" s="21"/>
      <c r="D83" s="63" t="s">
        <v>1843</v>
      </c>
      <c r="E83" s="21">
        <v>34</v>
      </c>
      <c r="F83" s="46" t="s">
        <v>1844</v>
      </c>
      <c r="G83" s="27"/>
      <c r="H83" s="47"/>
      <c r="I83" s="47"/>
      <c r="J83" s="229"/>
      <c r="K83" s="28"/>
      <c r="L83" s="28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</row>
    <row r="84" spans="1:27" ht="18.75">
      <c r="A84" s="121"/>
      <c r="B84" s="20" t="str">
        <f t="shared" si="1"/>
        <v>4460</v>
      </c>
      <c r="C84" s="21"/>
      <c r="D84" s="63" t="s">
        <v>1845</v>
      </c>
      <c r="E84" s="21">
        <v>34</v>
      </c>
      <c r="F84" s="46" t="s">
        <v>1846</v>
      </c>
      <c r="G84" s="27"/>
      <c r="H84" s="47"/>
      <c r="I84" s="47"/>
      <c r="J84" s="229"/>
      <c r="K84" s="28"/>
      <c r="L84" s="28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</row>
    <row r="85" spans="1:27" ht="18.75">
      <c r="A85" s="121"/>
      <c r="B85" s="20" t="str">
        <f t="shared" si="1"/>
        <v>4520</v>
      </c>
      <c r="C85" s="21"/>
      <c r="D85" s="63" t="s">
        <v>1847</v>
      </c>
      <c r="E85" s="21">
        <v>34</v>
      </c>
      <c r="F85" s="46" t="s">
        <v>1848</v>
      </c>
      <c r="G85" s="27"/>
      <c r="H85" s="47"/>
      <c r="I85" s="47"/>
      <c r="J85" s="229"/>
      <c r="K85" s="28"/>
      <c r="L85" s="28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</row>
    <row r="86" spans="1:27" ht="18.75">
      <c r="A86" s="121"/>
      <c r="B86" s="20" t="str">
        <f t="shared" si="1"/>
        <v>4530</v>
      </c>
      <c r="C86" s="21"/>
      <c r="D86" s="63" t="s">
        <v>1849</v>
      </c>
      <c r="E86" s="21">
        <v>34</v>
      </c>
      <c r="F86" s="46" t="s">
        <v>1850</v>
      </c>
      <c r="G86" s="27"/>
      <c r="H86" s="47"/>
      <c r="I86" s="47"/>
      <c r="J86" s="229"/>
      <c r="K86" s="28"/>
      <c r="L86" s="28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</row>
    <row r="87" spans="1:27" ht="18.75">
      <c r="A87" s="121"/>
      <c r="B87" s="20" t="str">
        <f t="shared" si="1"/>
        <v>4610</v>
      </c>
      <c r="C87" s="21"/>
      <c r="D87" s="63" t="s">
        <v>1851</v>
      </c>
      <c r="E87" s="21">
        <v>34</v>
      </c>
      <c r="F87" s="46" t="s">
        <v>1852</v>
      </c>
      <c r="G87" s="27"/>
      <c r="H87" s="47"/>
      <c r="I87" s="47"/>
      <c r="J87" s="229"/>
      <c r="K87" s="28"/>
      <c r="L87" s="28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</row>
    <row r="88" spans="1:27" ht="37.5">
      <c r="A88" s="121"/>
      <c r="B88" s="20" t="str">
        <f t="shared" si="1"/>
        <v>4610</v>
      </c>
      <c r="C88" s="21"/>
      <c r="D88" s="63" t="s">
        <v>1853</v>
      </c>
      <c r="E88" s="21">
        <v>34</v>
      </c>
      <c r="F88" s="46" t="s">
        <v>1854</v>
      </c>
      <c r="G88" s="27"/>
      <c r="H88" s="47"/>
      <c r="I88" s="47"/>
      <c r="J88" s="229"/>
      <c r="K88" s="28"/>
      <c r="L88" s="28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</row>
    <row r="89" spans="1:27" ht="18.75">
      <c r="A89" s="121"/>
      <c r="B89" s="20" t="str">
        <f t="shared" si="1"/>
        <v>4610</v>
      </c>
      <c r="C89" s="21"/>
      <c r="D89" s="63" t="s">
        <v>1853</v>
      </c>
      <c r="E89" s="21">
        <v>34</v>
      </c>
      <c r="F89" s="46" t="s">
        <v>1855</v>
      </c>
      <c r="G89" s="27"/>
      <c r="H89" s="47"/>
      <c r="I89" s="47"/>
      <c r="J89" s="229"/>
      <c r="K89" s="28"/>
      <c r="L89" s="28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</row>
    <row r="90" spans="1:27" ht="18.75">
      <c r="A90" s="121"/>
      <c r="B90" s="20" t="str">
        <f t="shared" si="1"/>
        <v>4910</v>
      </c>
      <c r="C90" s="21"/>
      <c r="D90" s="63" t="s">
        <v>1856</v>
      </c>
      <c r="E90" s="21">
        <v>34</v>
      </c>
      <c r="F90" s="46" t="s">
        <v>1857</v>
      </c>
      <c r="G90" s="27"/>
      <c r="H90" s="47"/>
      <c r="I90" s="47"/>
      <c r="J90" s="229"/>
      <c r="K90" s="28"/>
      <c r="L90" s="28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</row>
    <row r="91" spans="1:27" ht="18.75">
      <c r="A91" s="121"/>
      <c r="B91" s="20" t="str">
        <f t="shared" si="1"/>
        <v>4910</v>
      </c>
      <c r="C91" s="21"/>
      <c r="D91" s="63" t="s">
        <v>1858</v>
      </c>
      <c r="E91" s="21">
        <v>34</v>
      </c>
      <c r="F91" s="46" t="s">
        <v>1859</v>
      </c>
      <c r="G91" s="27"/>
      <c r="H91" s="47"/>
      <c r="I91" s="47"/>
      <c r="J91" s="229"/>
      <c r="K91" s="28"/>
      <c r="L91" s="28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</row>
    <row r="92" spans="1:27" ht="18.75">
      <c r="A92" s="121"/>
      <c r="B92" s="20" t="str">
        <f t="shared" si="1"/>
        <v>4940</v>
      </c>
      <c r="C92" s="21"/>
      <c r="D92" s="63" t="s">
        <v>1860</v>
      </c>
      <c r="E92" s="21">
        <v>34</v>
      </c>
      <c r="F92" s="46" t="s">
        <v>1861</v>
      </c>
      <c r="G92" s="27"/>
      <c r="H92" s="47"/>
      <c r="I92" s="47"/>
      <c r="J92" s="229"/>
      <c r="K92" s="28"/>
      <c r="L92" s="28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</row>
    <row r="93" spans="1:27" ht="18.75">
      <c r="A93" s="121"/>
      <c r="B93" s="20" t="str">
        <f t="shared" si="1"/>
        <v>5110</v>
      </c>
      <c r="C93" s="21"/>
      <c r="D93" s="63" t="s">
        <v>1862</v>
      </c>
      <c r="E93" s="21">
        <v>34</v>
      </c>
      <c r="F93" s="46" t="s">
        <v>1863</v>
      </c>
      <c r="G93" s="27"/>
      <c r="H93" s="47"/>
      <c r="I93" s="47"/>
      <c r="J93" s="229"/>
      <c r="K93" s="28"/>
      <c r="L93" s="28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</row>
    <row r="94" spans="1:27" ht="18.75">
      <c r="A94" s="121"/>
      <c r="B94" s="20" t="str">
        <f t="shared" si="1"/>
        <v>5120</v>
      </c>
      <c r="C94" s="21"/>
      <c r="D94" s="63" t="s">
        <v>1864</v>
      </c>
      <c r="E94" s="21">
        <v>34</v>
      </c>
      <c r="F94" s="46" t="s">
        <v>1865</v>
      </c>
      <c r="G94" s="27"/>
      <c r="H94" s="47"/>
      <c r="I94" s="47"/>
      <c r="J94" s="229"/>
      <c r="K94" s="28"/>
      <c r="L94" s="28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</row>
    <row r="95" spans="1:27" ht="18.75">
      <c r="A95" s="121"/>
      <c r="B95" s="20" t="str">
        <f t="shared" si="1"/>
        <v>5130</v>
      </c>
      <c r="C95" s="21"/>
      <c r="D95" s="63" t="s">
        <v>1866</v>
      </c>
      <c r="E95" s="21">
        <v>34</v>
      </c>
      <c r="F95" s="46" t="s">
        <v>1867</v>
      </c>
      <c r="G95" s="27"/>
      <c r="H95" s="47"/>
      <c r="I95" s="47"/>
      <c r="J95" s="229"/>
      <c r="K95" s="28"/>
      <c r="L95" s="28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</row>
    <row r="96" spans="1:27" ht="18.75">
      <c r="A96" s="121"/>
      <c r="B96" s="20" t="str">
        <f t="shared" si="1"/>
        <v>5133</v>
      </c>
      <c r="C96" s="21"/>
      <c r="D96" s="63" t="s">
        <v>1868</v>
      </c>
      <c r="E96" s="21">
        <v>34</v>
      </c>
      <c r="F96" s="46" t="s">
        <v>1869</v>
      </c>
      <c r="G96" s="27"/>
      <c r="H96" s="47"/>
      <c r="I96" s="47"/>
      <c r="J96" s="229"/>
      <c r="K96" s="28"/>
      <c r="L96" s="28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</row>
    <row r="97" spans="1:27" ht="18.75">
      <c r="A97" s="121"/>
      <c r="B97" s="20" t="str">
        <f t="shared" si="1"/>
        <v>5220</v>
      </c>
      <c r="C97" s="21"/>
      <c r="D97" s="63" t="s">
        <v>1870</v>
      </c>
      <c r="E97" s="21">
        <v>34</v>
      </c>
      <c r="F97" s="46" t="s">
        <v>1871</v>
      </c>
      <c r="G97" s="27"/>
      <c r="H97" s="47"/>
      <c r="I97" s="47"/>
      <c r="J97" s="229"/>
      <c r="K97" s="28"/>
      <c r="L97" s="28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</row>
    <row r="98" spans="1:27" ht="18.75">
      <c r="A98" s="121"/>
      <c r="B98" s="20" t="str">
        <f t="shared" si="1"/>
        <v>5220</v>
      </c>
      <c r="C98" s="21"/>
      <c r="D98" s="63" t="s">
        <v>1872</v>
      </c>
      <c r="E98" s="21">
        <v>34</v>
      </c>
      <c r="F98" s="46" t="s">
        <v>1873</v>
      </c>
      <c r="G98" s="27"/>
      <c r="H98" s="47"/>
      <c r="I98" s="47"/>
      <c r="J98" s="229"/>
      <c r="K98" s="28"/>
      <c r="L98" s="28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</row>
    <row r="99" spans="1:27" ht="18.75">
      <c r="A99" s="121"/>
      <c r="B99" s="20" t="str">
        <f t="shared" si="1"/>
        <v>5220</v>
      </c>
      <c r="C99" s="21"/>
      <c r="D99" s="63" t="s">
        <v>1874</v>
      </c>
      <c r="E99" s="21">
        <v>34</v>
      </c>
      <c r="F99" s="46" t="s">
        <v>1875</v>
      </c>
      <c r="G99" s="27"/>
      <c r="H99" s="47"/>
      <c r="I99" s="47"/>
      <c r="J99" s="229"/>
      <c r="K99" s="28"/>
      <c r="L99" s="28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27" ht="18.75">
      <c r="A100" s="121"/>
      <c r="B100" s="20" t="str">
        <f t="shared" si="1"/>
        <v>5220</v>
      </c>
      <c r="C100" s="21"/>
      <c r="D100" s="63" t="s">
        <v>1876</v>
      </c>
      <c r="E100" s="21">
        <v>34</v>
      </c>
      <c r="F100" s="46" t="s">
        <v>1877</v>
      </c>
      <c r="G100" s="27"/>
      <c r="H100" s="47"/>
      <c r="I100" s="47"/>
      <c r="J100" s="229"/>
      <c r="K100" s="28"/>
      <c r="L100" s="28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</row>
    <row r="101" spans="1:27" ht="18.75">
      <c r="A101" s="121"/>
      <c r="B101" s="20" t="str">
        <f t="shared" si="1"/>
        <v>5220</v>
      </c>
      <c r="C101" s="21"/>
      <c r="D101" s="63" t="s">
        <v>1878</v>
      </c>
      <c r="E101" s="21">
        <v>34</v>
      </c>
      <c r="F101" s="46" t="s">
        <v>1879</v>
      </c>
      <c r="G101" s="27"/>
      <c r="H101" s="47"/>
      <c r="I101" s="47"/>
      <c r="J101" s="229"/>
      <c r="K101" s="28"/>
      <c r="L101" s="28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</row>
    <row r="102" spans="1:27" ht="18.75">
      <c r="A102" s="121"/>
      <c r="B102" s="20" t="str">
        <f t="shared" si="1"/>
        <v>5660</v>
      </c>
      <c r="C102" s="21"/>
      <c r="D102" s="63" t="s">
        <v>1880</v>
      </c>
      <c r="E102" s="21">
        <v>34</v>
      </c>
      <c r="F102" s="46" t="s">
        <v>1881</v>
      </c>
      <c r="G102" s="27"/>
      <c r="H102" s="47"/>
      <c r="I102" s="47"/>
      <c r="J102" s="229"/>
      <c r="K102" s="28"/>
      <c r="L102" s="28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</row>
    <row r="103" spans="1:27" ht="37.5">
      <c r="A103" s="121"/>
      <c r="B103" s="20" t="str">
        <f t="shared" si="1"/>
        <v>5920</v>
      </c>
      <c r="C103" s="21"/>
      <c r="D103" s="63" t="s">
        <v>1882</v>
      </c>
      <c r="E103" s="21">
        <v>34</v>
      </c>
      <c r="F103" s="46" t="s">
        <v>1883</v>
      </c>
      <c r="G103" s="27"/>
      <c r="H103" s="47"/>
      <c r="I103" s="47"/>
      <c r="J103" s="229"/>
      <c r="K103" s="28"/>
      <c r="L103" s="28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</row>
    <row r="104" spans="1:27" ht="37.5">
      <c r="A104" s="121"/>
      <c r="B104" s="20" t="str">
        <f t="shared" si="1"/>
        <v>6110</v>
      </c>
      <c r="C104" s="21"/>
      <c r="D104" s="63" t="s">
        <v>1884</v>
      </c>
      <c r="E104" s="21">
        <v>34</v>
      </c>
      <c r="F104" s="46" t="s">
        <v>1885</v>
      </c>
      <c r="G104" s="27"/>
      <c r="H104" s="47"/>
      <c r="I104" s="47"/>
      <c r="J104" s="229"/>
      <c r="K104" s="28"/>
      <c r="L104" s="28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</row>
    <row r="105" spans="1:27" ht="37.5">
      <c r="A105" s="121"/>
      <c r="B105" s="20" t="str">
        <f t="shared" si="1"/>
        <v>6230</v>
      </c>
      <c r="C105" s="21"/>
      <c r="D105" s="63" t="s">
        <v>1886</v>
      </c>
      <c r="E105" s="21">
        <v>34</v>
      </c>
      <c r="F105" s="46" t="s">
        <v>1887</v>
      </c>
      <c r="G105" s="27"/>
      <c r="H105" s="47"/>
      <c r="I105" s="47"/>
      <c r="J105" s="229"/>
      <c r="K105" s="28"/>
      <c r="L105" s="28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</row>
    <row r="106" spans="1:27" ht="18.75">
      <c r="A106" s="121"/>
      <c r="B106" s="20" t="str">
        <f t="shared" si="1"/>
        <v>6620</v>
      </c>
      <c r="C106" s="21"/>
      <c r="D106" s="63" t="s">
        <v>1888</v>
      </c>
      <c r="E106" s="21">
        <v>34</v>
      </c>
      <c r="F106" s="46" t="s">
        <v>1889</v>
      </c>
      <c r="G106" s="27"/>
      <c r="H106" s="47"/>
      <c r="I106" s="47"/>
      <c r="J106" s="229"/>
      <c r="K106" s="28"/>
      <c r="L106" s="28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18.75">
      <c r="A107" s="121"/>
      <c r="B107" s="20" t="str">
        <f t="shared" si="1"/>
        <v>6630</v>
      </c>
      <c r="C107" s="21"/>
      <c r="D107" s="63" t="s">
        <v>1890</v>
      </c>
      <c r="E107" s="21">
        <v>34</v>
      </c>
      <c r="F107" s="46" t="s">
        <v>1891</v>
      </c>
      <c r="G107" s="27"/>
      <c r="H107" s="47"/>
      <c r="I107" s="47"/>
      <c r="J107" s="229"/>
      <c r="K107" s="28"/>
      <c r="L107" s="28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27" ht="18.75">
      <c r="A108" s="121"/>
      <c r="B108" s="20" t="str">
        <f t="shared" si="1"/>
        <v>6635</v>
      </c>
      <c r="C108" s="21"/>
      <c r="D108" s="63" t="s">
        <v>1892</v>
      </c>
      <c r="E108" s="21">
        <v>34</v>
      </c>
      <c r="F108" s="46" t="s">
        <v>1893</v>
      </c>
      <c r="G108" s="27"/>
      <c r="H108" s="47"/>
      <c r="I108" s="47"/>
      <c r="J108" s="229"/>
      <c r="K108" s="28"/>
      <c r="L108" s="28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</row>
    <row r="109" spans="1:27" ht="18.75">
      <c r="A109" s="121"/>
      <c r="B109" s="20" t="str">
        <f t="shared" si="1"/>
        <v>6695</v>
      </c>
      <c r="C109" s="21"/>
      <c r="D109" s="63" t="s">
        <v>1894</v>
      </c>
      <c r="E109" s="21">
        <v>34</v>
      </c>
      <c r="F109" s="46" t="s">
        <v>1895</v>
      </c>
      <c r="G109" s="27"/>
      <c r="H109" s="47"/>
      <c r="I109" s="47"/>
      <c r="J109" s="229"/>
      <c r="K109" s="28"/>
      <c r="L109" s="28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</row>
    <row r="110" spans="1:27" ht="18.75">
      <c r="A110" s="121"/>
      <c r="B110" s="20" t="str">
        <f t="shared" si="1"/>
        <v>6695</v>
      </c>
      <c r="C110" s="21"/>
      <c r="D110" s="63" t="s">
        <v>1896</v>
      </c>
      <c r="E110" s="21">
        <v>34</v>
      </c>
      <c r="F110" s="46" t="s">
        <v>1897</v>
      </c>
      <c r="G110" s="27"/>
      <c r="H110" s="47"/>
      <c r="I110" s="47"/>
      <c r="J110" s="229"/>
      <c r="K110" s="28"/>
      <c r="L110" s="28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</row>
    <row r="111" spans="1:27" ht="18.75">
      <c r="A111" s="121"/>
      <c r="B111" s="20" t="str">
        <f t="shared" si="1"/>
        <v>6695</v>
      </c>
      <c r="C111" s="21"/>
      <c r="D111" s="63" t="s">
        <v>1898</v>
      </c>
      <c r="E111" s="21">
        <v>34</v>
      </c>
      <c r="F111" s="46" t="s">
        <v>1899</v>
      </c>
      <c r="G111" s="27"/>
      <c r="H111" s="47"/>
      <c r="I111" s="47"/>
      <c r="J111" s="229"/>
      <c r="K111" s="28"/>
      <c r="L111" s="28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</row>
    <row r="112" spans="1:27" ht="18.75">
      <c r="A112" s="121"/>
      <c r="B112" s="20" t="str">
        <f t="shared" si="1"/>
        <v>6695</v>
      </c>
      <c r="C112" s="21"/>
      <c r="D112" s="63" t="s">
        <v>1900</v>
      </c>
      <c r="E112" s="21">
        <v>34</v>
      </c>
      <c r="F112" s="46" t="s">
        <v>1901</v>
      </c>
      <c r="G112" s="27"/>
      <c r="H112" s="47"/>
      <c r="I112" s="47"/>
      <c r="J112" s="229"/>
      <c r="K112" s="28"/>
      <c r="L112" s="28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</row>
    <row r="113" spans="1:27" ht="18.75">
      <c r="A113" s="121"/>
      <c r="B113" s="20" t="str">
        <f t="shared" si="1"/>
        <v>6695</v>
      </c>
      <c r="C113" s="21"/>
      <c r="D113" s="63" t="s">
        <v>1902</v>
      </c>
      <c r="E113" s="21">
        <v>34</v>
      </c>
      <c r="F113" s="46" t="s">
        <v>1903</v>
      </c>
      <c r="G113" s="27"/>
      <c r="H113" s="47"/>
      <c r="I113" s="47"/>
      <c r="J113" s="229"/>
      <c r="K113" s="28"/>
      <c r="L113" s="28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</row>
    <row r="114" spans="1:27" ht="18.75">
      <c r="A114" s="121"/>
      <c r="B114" s="20" t="str">
        <f t="shared" si="1"/>
        <v>6695</v>
      </c>
      <c r="C114" s="21"/>
      <c r="D114" s="63" t="s">
        <v>1904</v>
      </c>
      <c r="E114" s="21">
        <v>34</v>
      </c>
      <c r="F114" s="46" t="s">
        <v>1905</v>
      </c>
      <c r="G114" s="27"/>
      <c r="H114" s="47"/>
      <c r="I114" s="47"/>
      <c r="J114" s="229"/>
      <c r="K114" s="28"/>
      <c r="L114" s="28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</row>
    <row r="115" spans="1:27" ht="18.75">
      <c r="A115" s="121"/>
      <c r="B115" s="20" t="str">
        <f t="shared" si="1"/>
        <v>6695</v>
      </c>
      <c r="C115" s="21"/>
      <c r="D115" s="63" t="s">
        <v>1906</v>
      </c>
      <c r="E115" s="21">
        <v>34</v>
      </c>
      <c r="F115" s="46" t="s">
        <v>1412</v>
      </c>
      <c r="G115" s="27"/>
      <c r="H115" s="47"/>
      <c r="I115" s="47"/>
      <c r="J115" s="229"/>
      <c r="K115" s="28"/>
      <c r="L115" s="28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</row>
    <row r="116" spans="1:27" ht="18.75">
      <c r="A116" s="121"/>
      <c r="B116" s="20" t="str">
        <f t="shared" si="1"/>
        <v>8110</v>
      </c>
      <c r="C116" s="21"/>
      <c r="D116" s="63" t="s">
        <v>1907</v>
      </c>
      <c r="E116" s="21">
        <v>34</v>
      </c>
      <c r="F116" s="46" t="s">
        <v>1908</v>
      </c>
      <c r="G116" s="27"/>
      <c r="H116" s="47"/>
      <c r="I116" s="47"/>
      <c r="J116" s="229"/>
      <c r="K116" s="28"/>
      <c r="L116" s="28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</row>
    <row r="117" spans="1:27" ht="18.75">
      <c r="A117" s="121"/>
      <c r="B117" s="20" t="str">
        <f t="shared" si="1"/>
        <v>8110</v>
      </c>
      <c r="C117" s="21"/>
      <c r="D117" s="63" t="s">
        <v>1909</v>
      </c>
      <c r="E117" s="21">
        <v>34</v>
      </c>
      <c r="F117" s="46" t="s">
        <v>1910</v>
      </c>
      <c r="G117" s="27"/>
      <c r="H117" s="47"/>
      <c r="I117" s="47"/>
      <c r="J117" s="229"/>
      <c r="K117" s="28"/>
      <c r="L117" s="28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</row>
    <row r="118" spans="1:27" ht="18.75">
      <c r="A118" s="121"/>
      <c r="B118" s="20" t="str">
        <f t="shared" si="1"/>
        <v>8120</v>
      </c>
      <c r="C118" s="21"/>
      <c r="D118" s="63" t="s">
        <v>1911</v>
      </c>
      <c r="E118" s="21">
        <v>34</v>
      </c>
      <c r="F118" s="46" t="s">
        <v>1912</v>
      </c>
      <c r="G118" s="27"/>
      <c r="H118" s="47"/>
      <c r="I118" s="47"/>
      <c r="J118" s="229"/>
      <c r="K118" s="28"/>
      <c r="L118" s="28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</row>
    <row r="119" spans="1:27" ht="18.75">
      <c r="A119" s="121"/>
      <c r="B119" s="20" t="str">
        <f t="shared" si="1"/>
        <v>3230</v>
      </c>
      <c r="C119" s="21"/>
      <c r="D119" s="63" t="s">
        <v>1913</v>
      </c>
      <c r="E119" s="21">
        <v>35</v>
      </c>
      <c r="F119" s="46" t="s">
        <v>1914</v>
      </c>
      <c r="G119" s="27"/>
      <c r="H119" s="47"/>
      <c r="I119" s="47"/>
      <c r="J119" s="229"/>
      <c r="K119" s="28"/>
      <c r="L119" s="28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</row>
    <row r="120" spans="1:27" ht="18.75">
      <c r="A120" s="121"/>
      <c r="B120" s="20" t="str">
        <f t="shared" si="1"/>
        <v>3230</v>
      </c>
      <c r="C120" s="21"/>
      <c r="D120" s="63" t="s">
        <v>1915</v>
      </c>
      <c r="E120" s="21">
        <v>35</v>
      </c>
      <c r="F120" s="46" t="s">
        <v>1916</v>
      </c>
      <c r="G120" s="27"/>
      <c r="H120" s="47"/>
      <c r="I120" s="47"/>
      <c r="J120" s="229"/>
      <c r="K120" s="28"/>
      <c r="L120" s="28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</row>
    <row r="121" spans="1:27" ht="18.75">
      <c r="A121" s="121"/>
      <c r="B121" s="20" t="str">
        <f t="shared" si="1"/>
        <v>3230</v>
      </c>
      <c r="C121" s="21"/>
      <c r="D121" s="63" t="s">
        <v>1917</v>
      </c>
      <c r="E121" s="21">
        <v>35</v>
      </c>
      <c r="F121" s="46" t="s">
        <v>1918</v>
      </c>
      <c r="G121" s="27"/>
      <c r="H121" s="47">
        <v>6500</v>
      </c>
      <c r="I121" s="47"/>
      <c r="J121" s="229"/>
      <c r="K121" s="28"/>
      <c r="L121" s="28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</row>
    <row r="122" spans="1:27" ht="18.75">
      <c r="A122" s="121"/>
      <c r="B122" s="20" t="str">
        <f t="shared" si="1"/>
        <v>3405</v>
      </c>
      <c r="C122" s="21"/>
      <c r="D122" s="63" t="s">
        <v>1919</v>
      </c>
      <c r="E122" s="21">
        <v>35</v>
      </c>
      <c r="F122" s="46" t="s">
        <v>1920</v>
      </c>
      <c r="G122" s="27"/>
      <c r="H122" s="47"/>
      <c r="I122" s="47"/>
      <c r="J122" s="229"/>
      <c r="K122" s="28"/>
      <c r="L122" s="28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</row>
    <row r="123" spans="1:27" ht="18.75">
      <c r="A123" s="121"/>
      <c r="B123" s="20" t="str">
        <f t="shared" si="1"/>
        <v>3433</v>
      </c>
      <c r="C123" s="21"/>
      <c r="D123" s="63" t="s">
        <v>1921</v>
      </c>
      <c r="E123" s="21">
        <v>35</v>
      </c>
      <c r="F123" s="46" t="s">
        <v>1922</v>
      </c>
      <c r="G123" s="27"/>
      <c r="H123" s="47"/>
      <c r="I123" s="47"/>
      <c r="J123" s="229"/>
      <c r="K123" s="28"/>
      <c r="L123" s="28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</row>
    <row r="124" spans="1:27" ht="18.75">
      <c r="A124" s="121"/>
      <c r="B124" s="20" t="str">
        <f t="shared" si="1"/>
        <v>3443</v>
      </c>
      <c r="C124" s="21"/>
      <c r="D124" s="63" t="s">
        <v>1923</v>
      </c>
      <c r="E124" s="21">
        <v>35</v>
      </c>
      <c r="F124" s="46" t="s">
        <v>1924</v>
      </c>
      <c r="G124" s="27"/>
      <c r="H124" s="47"/>
      <c r="I124" s="47"/>
      <c r="J124" s="229"/>
      <c r="K124" s="28"/>
      <c r="L124" s="28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</row>
    <row r="125" spans="1:27" ht="18.75">
      <c r="A125" s="121"/>
      <c r="B125" s="20" t="str">
        <f t="shared" si="1"/>
        <v>3444</v>
      </c>
      <c r="C125" s="21"/>
      <c r="D125" s="63" t="s">
        <v>1925</v>
      </c>
      <c r="E125" s="21">
        <v>35</v>
      </c>
      <c r="F125" s="46" t="s">
        <v>1926</v>
      </c>
      <c r="G125" s="27"/>
      <c r="H125" s="47"/>
      <c r="I125" s="47"/>
      <c r="J125" s="229"/>
      <c r="K125" s="28"/>
      <c r="L125" s="28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</row>
    <row r="126" spans="1:27" ht="18.75">
      <c r="A126" s="121"/>
      <c r="B126" s="20" t="str">
        <f t="shared" si="1"/>
        <v>3820</v>
      </c>
      <c r="C126" s="21"/>
      <c r="D126" s="63" t="s">
        <v>1927</v>
      </c>
      <c r="E126" s="21">
        <v>35</v>
      </c>
      <c r="F126" s="46" t="s">
        <v>1928</v>
      </c>
      <c r="G126" s="27"/>
      <c r="H126" s="47"/>
      <c r="I126" s="47"/>
      <c r="J126" s="229"/>
      <c r="K126" s="28"/>
      <c r="L126" s="28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</row>
    <row r="127" spans="1:27" ht="18.75">
      <c r="A127" s="121"/>
      <c r="B127" s="20" t="str">
        <f t="shared" si="1"/>
        <v>3820</v>
      </c>
      <c r="C127" s="21"/>
      <c r="D127" s="63" t="s">
        <v>1929</v>
      </c>
      <c r="E127" s="21">
        <v>35</v>
      </c>
      <c r="F127" s="46" t="s">
        <v>1930</v>
      </c>
      <c r="G127" s="27"/>
      <c r="H127" s="47"/>
      <c r="I127" s="47"/>
      <c r="J127" s="229"/>
      <c r="K127" s="28"/>
      <c r="L127" s="28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</row>
    <row r="128" spans="1:27" ht="18.75">
      <c r="A128" s="121"/>
      <c r="B128" s="20" t="str">
        <f t="shared" si="1"/>
        <v>3895</v>
      </c>
      <c r="C128" s="21"/>
      <c r="D128" s="63" t="s">
        <v>1931</v>
      </c>
      <c r="E128" s="21">
        <v>35</v>
      </c>
      <c r="F128" s="46" t="s">
        <v>141</v>
      </c>
      <c r="G128" s="27"/>
      <c r="H128" s="47"/>
      <c r="I128" s="47"/>
      <c r="J128" s="229"/>
      <c r="K128" s="28"/>
      <c r="L128" s="28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</row>
    <row r="129" spans="1:27" ht="18.75">
      <c r="A129" s="121"/>
      <c r="B129" s="20" t="str">
        <f t="shared" si="1"/>
        <v>3895</v>
      </c>
      <c r="C129" s="21"/>
      <c r="D129" s="63" t="s">
        <v>1932</v>
      </c>
      <c r="E129" s="21">
        <v>35</v>
      </c>
      <c r="F129" s="46" t="s">
        <v>1933</v>
      </c>
      <c r="G129" s="27"/>
      <c r="H129" s="47"/>
      <c r="I129" s="47"/>
      <c r="J129" s="229"/>
      <c r="K129" s="28"/>
      <c r="L129" s="28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</row>
    <row r="130" spans="1:27" ht="18.75">
      <c r="A130" s="121"/>
      <c r="B130" s="20" t="str">
        <f t="shared" ref="B130:B193" si="2">LEFT(D130, SEARCH("",D130,4))</f>
        <v>3895</v>
      </c>
      <c r="C130" s="21"/>
      <c r="D130" s="63" t="s">
        <v>1934</v>
      </c>
      <c r="E130" s="21">
        <v>35</v>
      </c>
      <c r="F130" s="46" t="s">
        <v>1935</v>
      </c>
      <c r="G130" s="27"/>
      <c r="H130" s="47"/>
      <c r="I130" s="47"/>
      <c r="J130" s="229"/>
      <c r="K130" s="28"/>
      <c r="L130" s="28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</row>
    <row r="131" spans="1:27" ht="18.75">
      <c r="A131" s="121"/>
      <c r="B131" s="20" t="str">
        <f t="shared" si="2"/>
        <v>3930</v>
      </c>
      <c r="C131" s="21"/>
      <c r="D131" s="63" t="s">
        <v>1936</v>
      </c>
      <c r="E131" s="21">
        <v>35</v>
      </c>
      <c r="F131" s="46" t="s">
        <v>1937</v>
      </c>
      <c r="G131" s="27"/>
      <c r="H131" s="47"/>
      <c r="I131" s="47"/>
      <c r="J131" s="229"/>
      <c r="K131" s="28"/>
      <c r="L131" s="28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</row>
    <row r="132" spans="1:27" ht="18.75">
      <c r="A132" s="121"/>
      <c r="B132" s="20" t="str">
        <f t="shared" si="2"/>
        <v>3930</v>
      </c>
      <c r="C132" s="21"/>
      <c r="D132" s="63" t="s">
        <v>1938</v>
      </c>
      <c r="E132" s="21">
        <v>35</v>
      </c>
      <c r="F132" s="46" t="s">
        <v>1939</v>
      </c>
      <c r="G132" s="27"/>
      <c r="H132" s="47"/>
      <c r="I132" s="47"/>
      <c r="J132" s="229"/>
      <c r="K132" s="28"/>
      <c r="L132" s="28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</row>
    <row r="133" spans="1:27" ht="18.75">
      <c r="A133" s="121"/>
      <c r="B133" s="20" t="str">
        <f t="shared" si="2"/>
        <v>3960</v>
      </c>
      <c r="C133" s="21"/>
      <c r="D133" s="63" t="s">
        <v>1940</v>
      </c>
      <c r="E133" s="21">
        <v>35</v>
      </c>
      <c r="F133" s="46" t="s">
        <v>1941</v>
      </c>
      <c r="G133" s="27"/>
      <c r="H133" s="47"/>
      <c r="I133" s="47"/>
      <c r="J133" s="229"/>
      <c r="K133" s="28"/>
      <c r="L133" s="28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</row>
    <row r="134" spans="1:27" ht="37.5">
      <c r="A134" s="121"/>
      <c r="B134" s="20" t="str">
        <f t="shared" si="2"/>
        <v>4210</v>
      </c>
      <c r="C134" s="21"/>
      <c r="D134" s="63" t="s">
        <v>1942</v>
      </c>
      <c r="E134" s="21">
        <v>35</v>
      </c>
      <c r="F134" s="46" t="s">
        <v>1943</v>
      </c>
      <c r="G134" s="27"/>
      <c r="H134" s="47"/>
      <c r="I134" s="47"/>
      <c r="J134" s="229"/>
      <c r="K134" s="28"/>
      <c r="L134" s="28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</row>
    <row r="135" spans="1:27" ht="18.75">
      <c r="A135" s="121"/>
      <c r="B135" s="20" t="str">
        <f t="shared" si="2"/>
        <v>4210</v>
      </c>
      <c r="C135" s="21"/>
      <c r="D135" s="63" t="s">
        <v>1944</v>
      </c>
      <c r="E135" s="21">
        <v>35</v>
      </c>
      <c r="F135" s="46" t="s">
        <v>1945</v>
      </c>
      <c r="G135" s="27"/>
      <c r="H135" s="47"/>
      <c r="I135" s="47"/>
      <c r="J135" s="229"/>
      <c r="K135" s="28"/>
      <c r="L135" s="28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</row>
    <row r="136" spans="1:27" ht="18.75">
      <c r="A136" s="121"/>
      <c r="B136" s="20" t="str">
        <f t="shared" si="2"/>
        <v>4320</v>
      </c>
      <c r="C136" s="21"/>
      <c r="D136" s="63" t="s">
        <v>1946</v>
      </c>
      <c r="E136" s="21">
        <v>35</v>
      </c>
      <c r="F136" s="46" t="s">
        <v>1947</v>
      </c>
      <c r="G136" s="27"/>
      <c r="H136" s="47"/>
      <c r="I136" s="47"/>
      <c r="J136" s="229"/>
      <c r="K136" s="28"/>
      <c r="L136" s="28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</row>
    <row r="137" spans="1:27" ht="18.75">
      <c r="A137" s="121"/>
      <c r="B137" s="20" t="str">
        <f t="shared" si="2"/>
        <v>4420</v>
      </c>
      <c r="C137" s="21"/>
      <c r="D137" s="63" t="s">
        <v>1948</v>
      </c>
      <c r="E137" s="21">
        <v>35</v>
      </c>
      <c r="F137" s="46" t="s">
        <v>1949</v>
      </c>
      <c r="G137" s="27"/>
      <c r="H137" s="47"/>
      <c r="I137" s="47"/>
      <c r="J137" s="229"/>
      <c r="K137" s="28"/>
      <c r="L137" s="28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</row>
    <row r="138" spans="1:27" ht="18.75">
      <c r="A138" s="121"/>
      <c r="B138" s="20" t="str">
        <f t="shared" si="2"/>
        <v>4430</v>
      </c>
      <c r="C138" s="21"/>
      <c r="D138" s="63" t="s">
        <v>1950</v>
      </c>
      <c r="E138" s="21">
        <v>35</v>
      </c>
      <c r="F138" s="46" t="s">
        <v>1951</v>
      </c>
      <c r="G138" s="27"/>
      <c r="H138" s="47"/>
      <c r="I138" s="47"/>
      <c r="J138" s="229"/>
      <c r="K138" s="28"/>
      <c r="L138" s="28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</row>
    <row r="139" spans="1:27" ht="18.75">
      <c r="A139" s="121"/>
      <c r="B139" s="20" t="str">
        <f t="shared" si="2"/>
        <v>4520</v>
      </c>
      <c r="C139" s="21"/>
      <c r="D139" s="63" t="s">
        <v>1952</v>
      </c>
      <c r="E139" s="21">
        <v>35</v>
      </c>
      <c r="F139" s="46" t="s">
        <v>1953</v>
      </c>
      <c r="G139" s="27"/>
      <c r="H139" s="47"/>
      <c r="I139" s="47"/>
      <c r="J139" s="229"/>
      <c r="K139" s="28"/>
      <c r="L139" s="28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</row>
    <row r="140" spans="1:27" ht="18.75">
      <c r="A140" s="121"/>
      <c r="B140" s="20" t="str">
        <f t="shared" si="2"/>
        <v>4610</v>
      </c>
      <c r="C140" s="21"/>
      <c r="D140" s="63" t="s">
        <v>1954</v>
      </c>
      <c r="E140" s="21">
        <v>35</v>
      </c>
      <c r="F140" s="46" t="s">
        <v>1955</v>
      </c>
      <c r="G140" s="27"/>
      <c r="H140" s="47"/>
      <c r="I140" s="47"/>
      <c r="J140" s="229"/>
      <c r="K140" s="28"/>
      <c r="L140" s="28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</row>
    <row r="141" spans="1:27" ht="18.75">
      <c r="A141" s="121"/>
      <c r="B141" s="20" t="str">
        <f t="shared" si="2"/>
        <v>4610</v>
      </c>
      <c r="C141" s="21"/>
      <c r="D141" s="63" t="s">
        <v>1956</v>
      </c>
      <c r="E141" s="21">
        <v>35</v>
      </c>
      <c r="F141" s="46" t="s">
        <v>1855</v>
      </c>
      <c r="G141" s="27"/>
      <c r="H141" s="47"/>
      <c r="I141" s="47"/>
      <c r="J141" s="229"/>
      <c r="K141" s="28"/>
      <c r="L141" s="28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</row>
    <row r="142" spans="1:27" ht="18.75">
      <c r="A142" s="121"/>
      <c r="B142" s="20" t="str">
        <f t="shared" si="2"/>
        <v>4920</v>
      </c>
      <c r="C142" s="21"/>
      <c r="D142" s="63" t="s">
        <v>1957</v>
      </c>
      <c r="E142" s="21">
        <v>35</v>
      </c>
      <c r="F142" s="46" t="s">
        <v>1958</v>
      </c>
      <c r="G142" s="27"/>
      <c r="H142" s="47"/>
      <c r="I142" s="47"/>
      <c r="J142" s="229"/>
      <c r="K142" s="28"/>
      <c r="L142" s="28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</row>
    <row r="143" spans="1:27" ht="18.75">
      <c r="A143" s="121"/>
      <c r="B143" s="20" t="str">
        <f t="shared" si="2"/>
        <v>4940</v>
      </c>
      <c r="C143" s="21"/>
      <c r="D143" s="63" t="s">
        <v>1959</v>
      </c>
      <c r="E143" s="21">
        <v>35</v>
      </c>
      <c r="F143" s="46" t="s">
        <v>1960</v>
      </c>
      <c r="G143" s="27"/>
      <c r="H143" s="47"/>
      <c r="I143" s="47"/>
      <c r="J143" s="229"/>
      <c r="K143" s="28"/>
      <c r="L143" s="28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</row>
    <row r="144" spans="1:27" ht="18.75">
      <c r="A144" s="121"/>
      <c r="B144" s="20" t="str">
        <f t="shared" si="2"/>
        <v>4940</v>
      </c>
      <c r="C144" s="21"/>
      <c r="D144" s="63" t="s">
        <v>1961</v>
      </c>
      <c r="E144" s="21">
        <v>35</v>
      </c>
      <c r="F144" s="46" t="s">
        <v>1962</v>
      </c>
      <c r="G144" s="27"/>
      <c r="H144" s="47"/>
      <c r="I144" s="47"/>
      <c r="J144" s="229"/>
      <c r="K144" s="28"/>
      <c r="L144" s="28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</row>
    <row r="145" spans="1:27" ht="18.75">
      <c r="A145" s="121"/>
      <c r="B145" s="20" t="str">
        <f t="shared" si="2"/>
        <v>5110</v>
      </c>
      <c r="C145" s="21"/>
      <c r="D145" s="63" t="s">
        <v>1963</v>
      </c>
      <c r="E145" s="21">
        <v>35</v>
      </c>
      <c r="F145" s="46" t="s">
        <v>1964</v>
      </c>
      <c r="G145" s="27"/>
      <c r="H145" s="47"/>
      <c r="I145" s="47"/>
      <c r="J145" s="229"/>
      <c r="K145" s="28"/>
      <c r="L145" s="28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</row>
    <row r="146" spans="1:27" ht="18.75">
      <c r="A146" s="121"/>
      <c r="B146" s="20" t="str">
        <f t="shared" si="2"/>
        <v>5130</v>
      </c>
      <c r="C146" s="21"/>
      <c r="D146" s="63" t="s">
        <v>1965</v>
      </c>
      <c r="E146" s="21">
        <v>35</v>
      </c>
      <c r="F146" s="46" t="s">
        <v>1966</v>
      </c>
      <c r="G146" s="27"/>
      <c r="H146" s="47"/>
      <c r="I146" s="47"/>
      <c r="J146" s="229"/>
      <c r="K146" s="28"/>
      <c r="L146" s="28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</row>
    <row r="147" spans="1:27" ht="18.75">
      <c r="A147" s="121"/>
      <c r="B147" s="20" t="str">
        <f t="shared" si="2"/>
        <v>5130</v>
      </c>
      <c r="C147" s="21"/>
      <c r="D147" s="63" t="s">
        <v>1967</v>
      </c>
      <c r="E147" s="21">
        <v>35</v>
      </c>
      <c r="F147" s="46" t="s">
        <v>1968</v>
      </c>
      <c r="G147" s="27"/>
      <c r="H147" s="47"/>
      <c r="I147" s="47"/>
      <c r="J147" s="229"/>
      <c r="K147" s="28"/>
      <c r="L147" s="28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</row>
    <row r="148" spans="1:27" ht="18.75">
      <c r="A148" s="121"/>
      <c r="B148" s="20" t="str">
        <f t="shared" si="2"/>
        <v>5130</v>
      </c>
      <c r="C148" s="21"/>
      <c r="D148" s="63" t="s">
        <v>1969</v>
      </c>
      <c r="E148" s="21">
        <v>35</v>
      </c>
      <c r="F148" s="46" t="s">
        <v>1970</v>
      </c>
      <c r="G148" s="27"/>
      <c r="H148" s="47"/>
      <c r="I148" s="47"/>
      <c r="J148" s="229"/>
      <c r="K148" s="28"/>
      <c r="L148" s="28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</row>
    <row r="149" spans="1:27" ht="18.75">
      <c r="A149" s="121"/>
      <c r="B149" s="20" t="str">
        <f t="shared" si="2"/>
        <v>5130</v>
      </c>
      <c r="C149" s="21"/>
      <c r="D149" s="63" t="s">
        <v>1971</v>
      </c>
      <c r="E149" s="21">
        <v>35</v>
      </c>
      <c r="F149" s="46" t="s">
        <v>1972</v>
      </c>
      <c r="G149" s="27"/>
      <c r="H149" s="47"/>
      <c r="I149" s="47"/>
      <c r="J149" s="229"/>
      <c r="K149" s="28"/>
      <c r="L149" s="28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</row>
    <row r="150" spans="1:27" ht="18.75">
      <c r="A150" s="121"/>
      <c r="B150" s="20" t="str">
        <f t="shared" si="2"/>
        <v>5130</v>
      </c>
      <c r="C150" s="21"/>
      <c r="D150" s="63" t="s">
        <v>1973</v>
      </c>
      <c r="E150" s="21">
        <v>35</v>
      </c>
      <c r="F150" s="46" t="s">
        <v>1974</v>
      </c>
      <c r="G150" s="27"/>
      <c r="H150" s="47"/>
      <c r="I150" s="47"/>
      <c r="J150" s="229"/>
      <c r="K150" s="28"/>
      <c r="L150" s="28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</row>
    <row r="151" spans="1:27" ht="18.75">
      <c r="A151" s="121"/>
      <c r="B151" s="20" t="str">
        <f t="shared" si="2"/>
        <v>5130</v>
      </c>
      <c r="C151" s="21"/>
      <c r="D151" s="63" t="s">
        <v>1975</v>
      </c>
      <c r="E151" s="21">
        <v>35</v>
      </c>
      <c r="F151" s="46" t="s">
        <v>1976</v>
      </c>
      <c r="G151" s="27"/>
      <c r="H151" s="47"/>
      <c r="I151" s="47"/>
      <c r="J151" s="229"/>
      <c r="K151" s="28"/>
      <c r="L151" s="28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</row>
    <row r="152" spans="1:27" ht="18.75">
      <c r="A152" s="121"/>
      <c r="B152" s="20" t="str">
        <f t="shared" si="2"/>
        <v>5130</v>
      </c>
      <c r="C152" s="21"/>
      <c r="D152" s="63" t="s">
        <v>1977</v>
      </c>
      <c r="E152" s="21">
        <v>35</v>
      </c>
      <c r="F152" s="46" t="s">
        <v>1978</v>
      </c>
      <c r="G152" s="27"/>
      <c r="H152" s="47"/>
      <c r="I152" s="47"/>
      <c r="J152" s="229"/>
      <c r="K152" s="28"/>
      <c r="L152" s="28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</row>
    <row r="153" spans="1:27" ht="18.75">
      <c r="A153" s="121"/>
      <c r="B153" s="20" t="str">
        <f t="shared" si="2"/>
        <v>5130</v>
      </c>
      <c r="C153" s="21"/>
      <c r="D153" s="63" t="s">
        <v>1979</v>
      </c>
      <c r="E153" s="21">
        <v>35</v>
      </c>
      <c r="F153" s="46" t="s">
        <v>1980</v>
      </c>
      <c r="G153" s="27"/>
      <c r="H153" s="47"/>
      <c r="I153" s="47"/>
      <c r="J153" s="229"/>
      <c r="K153" s="28"/>
      <c r="L153" s="28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</row>
    <row r="154" spans="1:27" ht="18.75">
      <c r="A154" s="121"/>
      <c r="B154" s="20" t="str">
        <f t="shared" si="2"/>
        <v>5180</v>
      </c>
      <c r="C154" s="21"/>
      <c r="D154" s="63" t="s">
        <v>1981</v>
      </c>
      <c r="E154" s="21">
        <v>35</v>
      </c>
      <c r="F154" s="46" t="s">
        <v>1982</v>
      </c>
      <c r="G154" s="27"/>
      <c r="H154" s="47"/>
      <c r="I154" s="47"/>
      <c r="J154" s="229"/>
      <c r="K154" s="28"/>
      <c r="L154" s="28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</row>
    <row r="155" spans="1:27" ht="18.75">
      <c r="A155" s="121"/>
      <c r="B155" s="20" t="str">
        <f t="shared" si="2"/>
        <v>5335</v>
      </c>
      <c r="C155" s="21"/>
      <c r="D155" s="63" t="s">
        <v>1983</v>
      </c>
      <c r="E155" s="21">
        <v>35</v>
      </c>
      <c r="F155" s="46" t="s">
        <v>1984</v>
      </c>
      <c r="G155" s="27"/>
      <c r="H155" s="47"/>
      <c r="I155" s="47"/>
      <c r="J155" s="229"/>
      <c r="K155" s="28"/>
      <c r="L155" s="28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</row>
    <row r="156" spans="1:27" ht="18.75">
      <c r="A156" s="121"/>
      <c r="B156" s="20" t="str">
        <f t="shared" si="2"/>
        <v>5345</v>
      </c>
      <c r="C156" s="21"/>
      <c r="D156" s="63" t="s">
        <v>1985</v>
      </c>
      <c r="E156" s="21">
        <v>35</v>
      </c>
      <c r="F156" s="46" t="s">
        <v>1986</v>
      </c>
      <c r="G156" s="27"/>
      <c r="H156" s="47"/>
      <c r="I156" s="47"/>
      <c r="J156" s="229"/>
      <c r="K156" s="28"/>
      <c r="L156" s="28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</row>
    <row r="157" spans="1:27" ht="18.75">
      <c r="A157" s="121"/>
      <c r="B157" s="20" t="str">
        <f t="shared" si="2"/>
        <v>5440</v>
      </c>
      <c r="C157" s="21"/>
      <c r="D157" s="63" t="s">
        <v>1987</v>
      </c>
      <c r="E157" s="21">
        <v>35</v>
      </c>
      <c r="F157" s="46" t="s">
        <v>1988</v>
      </c>
      <c r="G157" s="27"/>
      <c r="H157" s="47"/>
      <c r="I157" s="47"/>
      <c r="J157" s="229"/>
      <c r="K157" s="28"/>
      <c r="L157" s="28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</row>
    <row r="158" spans="1:27" ht="37.5">
      <c r="A158" s="121"/>
      <c r="B158" s="20" t="str">
        <f t="shared" si="2"/>
        <v>5920</v>
      </c>
      <c r="C158" s="21"/>
      <c r="D158" s="63" t="s">
        <v>1989</v>
      </c>
      <c r="E158" s="21">
        <v>35</v>
      </c>
      <c r="F158" s="46" t="s">
        <v>1990</v>
      </c>
      <c r="G158" s="27"/>
      <c r="H158" s="47"/>
      <c r="I158" s="47"/>
      <c r="J158" s="229"/>
      <c r="K158" s="28"/>
      <c r="L158" s="28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</row>
    <row r="159" spans="1:27" ht="18.75">
      <c r="A159" s="121"/>
      <c r="B159" s="20" t="str">
        <f t="shared" si="2"/>
        <v>6110</v>
      </c>
      <c r="C159" s="21"/>
      <c r="D159" s="63" t="s">
        <v>1991</v>
      </c>
      <c r="E159" s="21">
        <v>35</v>
      </c>
      <c r="F159" s="46" t="s">
        <v>1992</v>
      </c>
      <c r="G159" s="27"/>
      <c r="H159" s="47"/>
      <c r="I159" s="47"/>
      <c r="J159" s="229"/>
      <c r="K159" s="28"/>
      <c r="L159" s="28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</row>
    <row r="160" spans="1:27" ht="18.75">
      <c r="A160" s="121"/>
      <c r="B160" s="20" t="str">
        <f t="shared" si="2"/>
        <v>6125</v>
      </c>
      <c r="C160" s="21"/>
      <c r="D160" s="63" t="s">
        <v>1993</v>
      </c>
      <c r="E160" s="21">
        <v>35</v>
      </c>
      <c r="F160" s="46" t="s">
        <v>1994</v>
      </c>
      <c r="G160" s="27"/>
      <c r="H160" s="47"/>
      <c r="I160" s="47"/>
      <c r="J160" s="229"/>
      <c r="K160" s="28"/>
      <c r="L160" s="28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</row>
    <row r="161" spans="1:27" ht="18.75">
      <c r="A161" s="121"/>
      <c r="B161" s="20" t="str">
        <f t="shared" si="2"/>
        <v>6125</v>
      </c>
      <c r="C161" s="21"/>
      <c r="D161" s="63" t="s">
        <v>1995</v>
      </c>
      <c r="E161" s="21">
        <v>35</v>
      </c>
      <c r="F161" s="46" t="s">
        <v>1996</v>
      </c>
      <c r="G161" s="27"/>
      <c r="H161" s="47"/>
      <c r="I161" s="47"/>
      <c r="J161" s="229"/>
      <c r="K161" s="28"/>
      <c r="L161" s="28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</row>
    <row r="162" spans="1:27" ht="18.75">
      <c r="A162" s="121"/>
      <c r="B162" s="20" t="str">
        <f t="shared" si="2"/>
        <v>6125</v>
      </c>
      <c r="C162" s="21"/>
      <c r="D162" s="63" t="s">
        <v>1997</v>
      </c>
      <c r="E162" s="21">
        <v>35</v>
      </c>
      <c r="F162" s="46" t="s">
        <v>1998</v>
      </c>
      <c r="G162" s="27"/>
      <c r="H162" s="47"/>
      <c r="I162" s="47"/>
      <c r="J162" s="229"/>
      <c r="K162" s="28"/>
      <c r="L162" s="28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</row>
    <row r="163" spans="1:27" ht="18.75">
      <c r="A163" s="121"/>
      <c r="B163" s="20" t="str">
        <f t="shared" si="2"/>
        <v>6125</v>
      </c>
      <c r="C163" s="21"/>
      <c r="D163" s="63" t="s">
        <v>1999</v>
      </c>
      <c r="E163" s="21">
        <v>35</v>
      </c>
      <c r="F163" s="46" t="s">
        <v>2000</v>
      </c>
      <c r="G163" s="27"/>
      <c r="H163" s="47"/>
      <c r="I163" s="47"/>
      <c r="J163" s="229"/>
      <c r="K163" s="28"/>
      <c r="L163" s="28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</row>
    <row r="164" spans="1:27" ht="18.75">
      <c r="A164" s="121"/>
      <c r="B164" s="20" t="str">
        <f t="shared" si="2"/>
        <v>6125</v>
      </c>
      <c r="C164" s="21"/>
      <c r="D164" s="63" t="s">
        <v>2001</v>
      </c>
      <c r="E164" s="21">
        <v>35</v>
      </c>
      <c r="F164" s="46" t="s">
        <v>2002</v>
      </c>
      <c r="G164" s="27"/>
      <c r="H164" s="47"/>
      <c r="I164" s="47"/>
      <c r="J164" s="229"/>
      <c r="K164" s="28"/>
      <c r="L164" s="28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</row>
    <row r="165" spans="1:27" ht="18.75">
      <c r="A165" s="121"/>
      <c r="B165" s="20" t="str">
        <f t="shared" si="2"/>
        <v>6125</v>
      </c>
      <c r="C165" s="21"/>
      <c r="D165" s="63" t="s">
        <v>2003</v>
      </c>
      <c r="E165" s="21">
        <v>35</v>
      </c>
      <c r="F165" s="46" t="s">
        <v>2004</v>
      </c>
      <c r="G165" s="27"/>
      <c r="H165" s="47"/>
      <c r="I165" s="47"/>
      <c r="J165" s="229"/>
      <c r="K165" s="28"/>
      <c r="L165" s="28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</row>
    <row r="166" spans="1:27" ht="18.75">
      <c r="A166" s="121"/>
      <c r="B166" s="20" t="str">
        <f t="shared" si="2"/>
        <v>6155</v>
      </c>
      <c r="C166" s="21"/>
      <c r="D166" s="63" t="s">
        <v>2005</v>
      </c>
      <c r="E166" s="21">
        <v>35</v>
      </c>
      <c r="F166" s="46" t="s">
        <v>2006</v>
      </c>
      <c r="G166" s="27"/>
      <c r="H166" s="47"/>
      <c r="I166" s="47"/>
      <c r="J166" s="229"/>
      <c r="K166" s="28"/>
      <c r="L166" s="28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</row>
    <row r="167" spans="1:27" ht="37.5">
      <c r="A167" s="121"/>
      <c r="B167" s="20" t="str">
        <f t="shared" si="2"/>
        <v>6210</v>
      </c>
      <c r="C167" s="21"/>
      <c r="D167" s="63" t="s">
        <v>2007</v>
      </c>
      <c r="E167" s="21">
        <v>35</v>
      </c>
      <c r="F167" s="46" t="s">
        <v>2008</v>
      </c>
      <c r="G167" s="27"/>
      <c r="H167" s="47"/>
      <c r="I167" s="47"/>
      <c r="J167" s="229"/>
      <c r="K167" s="28"/>
      <c r="L167" s="28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</row>
    <row r="168" spans="1:27" ht="18.75">
      <c r="A168" s="121"/>
      <c r="B168" s="20" t="str">
        <f t="shared" si="2"/>
        <v>6230</v>
      </c>
      <c r="C168" s="21"/>
      <c r="D168" s="63" t="s">
        <v>2009</v>
      </c>
      <c r="E168" s="21">
        <v>35</v>
      </c>
      <c r="F168" s="46" t="s">
        <v>2010</v>
      </c>
      <c r="G168" s="27"/>
      <c r="H168" s="47"/>
      <c r="I168" s="47"/>
      <c r="J168" s="229"/>
      <c r="K168" s="28"/>
      <c r="L168" s="28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</row>
    <row r="169" spans="1:27" ht="18.75">
      <c r="A169" s="121"/>
      <c r="B169" s="20" t="str">
        <f t="shared" si="2"/>
        <v>6620</v>
      </c>
      <c r="C169" s="21"/>
      <c r="D169" s="63" t="s">
        <v>2011</v>
      </c>
      <c r="E169" s="21">
        <v>35</v>
      </c>
      <c r="F169" s="46" t="s">
        <v>2012</v>
      </c>
      <c r="G169" s="27"/>
      <c r="H169" s="47"/>
      <c r="I169" s="47"/>
      <c r="J169" s="229"/>
      <c r="K169" s="28"/>
      <c r="L169" s="28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</row>
    <row r="170" spans="1:27" ht="18.75">
      <c r="A170" s="121"/>
      <c r="B170" s="20" t="str">
        <f t="shared" si="2"/>
        <v>6630</v>
      </c>
      <c r="C170" s="21"/>
      <c r="D170" s="63" t="s">
        <v>2013</v>
      </c>
      <c r="E170" s="21">
        <v>35</v>
      </c>
      <c r="F170" s="46" t="s">
        <v>2014</v>
      </c>
      <c r="G170" s="27"/>
      <c r="H170" s="47"/>
      <c r="I170" s="47"/>
      <c r="J170" s="229"/>
      <c r="K170" s="28"/>
      <c r="L170" s="28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</row>
    <row r="171" spans="1:27" ht="18.75">
      <c r="A171" s="121"/>
      <c r="B171" s="20" t="str">
        <f t="shared" si="2"/>
        <v>6635</v>
      </c>
      <c r="C171" s="21"/>
      <c r="D171" s="63" t="s">
        <v>2015</v>
      </c>
      <c r="E171" s="21">
        <v>35</v>
      </c>
      <c r="F171" s="46" t="s">
        <v>2016</v>
      </c>
      <c r="G171" s="27"/>
      <c r="H171" s="47"/>
      <c r="I171" s="47"/>
      <c r="J171" s="229"/>
      <c r="K171" s="28"/>
      <c r="L171" s="28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</row>
    <row r="172" spans="1:27" ht="18.75">
      <c r="A172" s="121"/>
      <c r="B172" s="20" t="str">
        <f t="shared" si="2"/>
        <v>6635</v>
      </c>
      <c r="C172" s="21"/>
      <c r="D172" s="63" t="s">
        <v>2017</v>
      </c>
      <c r="E172" s="21">
        <v>35</v>
      </c>
      <c r="F172" s="46" t="s">
        <v>2018</v>
      </c>
      <c r="G172" s="27"/>
      <c r="H172" s="47"/>
      <c r="I172" s="47"/>
      <c r="J172" s="229"/>
      <c r="K172" s="28"/>
      <c r="L172" s="28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</row>
    <row r="173" spans="1:27" ht="37.5">
      <c r="A173" s="121"/>
      <c r="B173" s="20" t="str">
        <f t="shared" si="2"/>
        <v>6675</v>
      </c>
      <c r="C173" s="21"/>
      <c r="D173" s="63" t="s">
        <v>2019</v>
      </c>
      <c r="E173" s="21">
        <v>35</v>
      </c>
      <c r="F173" s="46" t="s">
        <v>2020</v>
      </c>
      <c r="G173" s="27"/>
      <c r="H173" s="47"/>
      <c r="I173" s="47"/>
      <c r="J173" s="229"/>
      <c r="K173" s="28"/>
      <c r="L173" s="28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</row>
    <row r="174" spans="1:27" ht="37.5">
      <c r="A174" s="121"/>
      <c r="B174" s="20" t="str">
        <f t="shared" si="2"/>
        <v>6675</v>
      </c>
      <c r="C174" s="21"/>
      <c r="D174" s="63" t="s">
        <v>2021</v>
      </c>
      <c r="E174" s="21">
        <v>35</v>
      </c>
      <c r="F174" s="46" t="s">
        <v>2022</v>
      </c>
      <c r="G174" s="27"/>
      <c r="H174" s="47"/>
      <c r="I174" s="47"/>
      <c r="J174" s="229"/>
      <c r="K174" s="28"/>
      <c r="L174" s="28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</row>
    <row r="175" spans="1:27" ht="18.75">
      <c r="A175" s="121"/>
      <c r="B175" s="20" t="str">
        <f t="shared" si="2"/>
        <v>6675</v>
      </c>
      <c r="C175" s="21"/>
      <c r="D175" s="63" t="s">
        <v>2023</v>
      </c>
      <c r="E175" s="21">
        <v>35</v>
      </c>
      <c r="F175" s="46" t="s">
        <v>2024</v>
      </c>
      <c r="G175" s="27"/>
      <c r="H175" s="47"/>
      <c r="I175" s="47"/>
      <c r="J175" s="229"/>
      <c r="K175" s="28"/>
      <c r="L175" s="28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</row>
    <row r="176" spans="1:27" ht="18.75">
      <c r="A176" s="121"/>
      <c r="B176" s="20" t="str">
        <f t="shared" si="2"/>
        <v>6675</v>
      </c>
      <c r="C176" s="21"/>
      <c r="D176" s="63" t="s">
        <v>2025</v>
      </c>
      <c r="E176" s="21">
        <v>35</v>
      </c>
      <c r="F176" s="46" t="s">
        <v>2026</v>
      </c>
      <c r="G176" s="27"/>
      <c r="H176" s="47"/>
      <c r="I176" s="47"/>
      <c r="J176" s="229"/>
      <c r="K176" s="28"/>
      <c r="L176" s="28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</row>
    <row r="177" spans="1:27" ht="18.75">
      <c r="A177" s="121"/>
      <c r="B177" s="20" t="str">
        <f t="shared" si="2"/>
        <v>6675</v>
      </c>
      <c r="C177" s="21"/>
      <c r="D177" s="63" t="s">
        <v>2027</v>
      </c>
      <c r="E177" s="21">
        <v>35</v>
      </c>
      <c r="F177" s="46" t="s">
        <v>2028</v>
      </c>
      <c r="G177" s="27"/>
      <c r="H177" s="47"/>
      <c r="I177" s="47"/>
      <c r="J177" s="229"/>
      <c r="K177" s="28"/>
      <c r="L177" s="28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</row>
    <row r="178" spans="1:27" ht="18.75">
      <c r="A178" s="121"/>
      <c r="B178" s="20" t="str">
        <f t="shared" si="2"/>
        <v>6675</v>
      </c>
      <c r="C178" s="21"/>
      <c r="D178" s="63" t="s">
        <v>2029</v>
      </c>
      <c r="E178" s="21">
        <v>35</v>
      </c>
      <c r="F178" s="46" t="s">
        <v>2030</v>
      </c>
      <c r="G178" s="27"/>
      <c r="H178" s="47"/>
      <c r="I178" s="47"/>
      <c r="J178" s="229"/>
      <c r="K178" s="28"/>
      <c r="L178" s="28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</row>
    <row r="179" spans="1:27" ht="18.75">
      <c r="A179" s="121"/>
      <c r="B179" s="20" t="str">
        <f t="shared" si="2"/>
        <v>6680</v>
      </c>
      <c r="C179" s="21"/>
      <c r="D179" s="63" t="s">
        <v>2031</v>
      </c>
      <c r="E179" s="21">
        <v>35</v>
      </c>
      <c r="F179" s="46" t="s">
        <v>2032</v>
      </c>
      <c r="G179" s="27"/>
      <c r="H179" s="47"/>
      <c r="I179" s="47"/>
      <c r="J179" s="229"/>
      <c r="K179" s="28"/>
      <c r="L179" s="28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</row>
    <row r="180" spans="1:27" ht="18.75">
      <c r="A180" s="121"/>
      <c r="B180" s="20" t="str">
        <f t="shared" si="2"/>
        <v>6680</v>
      </c>
      <c r="C180" s="21"/>
      <c r="D180" s="63" t="s">
        <v>2033</v>
      </c>
      <c r="E180" s="21">
        <v>35</v>
      </c>
      <c r="F180" s="46" t="s">
        <v>2034</v>
      </c>
      <c r="G180" s="27"/>
      <c r="H180" s="47"/>
      <c r="I180" s="47"/>
      <c r="J180" s="229"/>
      <c r="K180" s="28"/>
      <c r="L180" s="28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</row>
    <row r="181" spans="1:27" ht="18.75">
      <c r="A181" s="121"/>
      <c r="B181" s="20" t="str">
        <f t="shared" si="2"/>
        <v>6680</v>
      </c>
      <c r="C181" s="21"/>
      <c r="D181" s="63" t="s">
        <v>2035</v>
      </c>
      <c r="E181" s="21">
        <v>35</v>
      </c>
      <c r="F181" s="46" t="s">
        <v>2036</v>
      </c>
      <c r="G181" s="27"/>
      <c r="H181" s="47"/>
      <c r="I181" s="47"/>
      <c r="J181" s="229"/>
      <c r="K181" s="28"/>
      <c r="L181" s="28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</row>
    <row r="182" spans="1:27" ht="18.75">
      <c r="A182" s="121"/>
      <c r="B182" s="20" t="str">
        <f t="shared" si="2"/>
        <v>6685</v>
      </c>
      <c r="C182" s="21"/>
      <c r="D182" s="63" t="s">
        <v>2037</v>
      </c>
      <c r="E182" s="21">
        <v>35</v>
      </c>
      <c r="F182" s="46" t="s">
        <v>2038</v>
      </c>
      <c r="G182" s="27"/>
      <c r="H182" s="47"/>
      <c r="I182" s="47"/>
      <c r="J182" s="229"/>
      <c r="K182" s="28"/>
      <c r="L182" s="28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</row>
    <row r="183" spans="1:27" ht="18.75">
      <c r="A183" s="121"/>
      <c r="B183" s="20" t="str">
        <f t="shared" si="2"/>
        <v>6685</v>
      </c>
      <c r="C183" s="21"/>
      <c r="D183" s="63" t="s">
        <v>2039</v>
      </c>
      <c r="E183" s="21">
        <v>35</v>
      </c>
      <c r="F183" s="46" t="s">
        <v>2040</v>
      </c>
      <c r="G183" s="27"/>
      <c r="H183" s="47"/>
      <c r="I183" s="47"/>
      <c r="J183" s="229"/>
      <c r="K183" s="28"/>
      <c r="L183" s="28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</row>
    <row r="184" spans="1:27" ht="18.75">
      <c r="A184" s="121"/>
      <c r="B184" s="20" t="str">
        <f t="shared" si="2"/>
        <v>2320</v>
      </c>
      <c r="C184" s="21"/>
      <c r="D184" s="63" t="s">
        <v>2041</v>
      </c>
      <c r="E184" s="21">
        <v>36</v>
      </c>
      <c r="F184" s="46" t="s">
        <v>2042</v>
      </c>
      <c r="G184" s="27"/>
      <c r="H184" s="47"/>
      <c r="I184" s="47"/>
      <c r="J184" s="229"/>
      <c r="K184" s="28"/>
      <c r="L184" s="28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</row>
    <row r="185" spans="1:27" ht="18.75">
      <c r="A185" s="121"/>
      <c r="B185" s="20" t="str">
        <f t="shared" si="2"/>
        <v>2320</v>
      </c>
      <c r="C185" s="21"/>
      <c r="D185" s="63" t="s">
        <v>2043</v>
      </c>
      <c r="E185" s="21">
        <v>36</v>
      </c>
      <c r="F185" s="46" t="s">
        <v>2044</v>
      </c>
      <c r="G185" s="27"/>
      <c r="H185" s="47"/>
      <c r="I185" s="47"/>
      <c r="J185" s="229"/>
      <c r="K185" s="28"/>
      <c r="L185" s="28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</row>
    <row r="186" spans="1:27" ht="18.75">
      <c r="A186" s="121"/>
      <c r="B186" s="20" t="str">
        <f t="shared" si="2"/>
        <v>2320</v>
      </c>
      <c r="C186" s="21"/>
      <c r="D186" s="63" t="s">
        <v>2045</v>
      </c>
      <c r="E186" s="21">
        <v>36</v>
      </c>
      <c r="F186" s="46" t="s">
        <v>2046</v>
      </c>
      <c r="G186" s="27"/>
      <c r="H186" s="47"/>
      <c r="I186" s="47"/>
      <c r="J186" s="229"/>
      <c r="K186" s="28"/>
      <c r="L186" s="28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</row>
    <row r="187" spans="1:27" ht="18.75">
      <c r="A187" s="121"/>
      <c r="B187" s="20" t="str">
        <f t="shared" si="2"/>
        <v>2320</v>
      </c>
      <c r="C187" s="21"/>
      <c r="D187" s="63" t="s">
        <v>2047</v>
      </c>
      <c r="E187" s="21">
        <v>36</v>
      </c>
      <c r="F187" s="46" t="s">
        <v>2048</v>
      </c>
      <c r="G187" s="27"/>
      <c r="H187" s="47"/>
      <c r="I187" s="47"/>
      <c r="J187" s="229"/>
      <c r="K187" s="28"/>
      <c r="L187" s="28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</row>
    <row r="188" spans="1:27" ht="18.75">
      <c r="A188" s="121"/>
      <c r="B188" s="20" t="str">
        <f t="shared" si="2"/>
        <v>2420</v>
      </c>
      <c r="C188" s="21"/>
      <c r="D188" s="63" t="s">
        <v>2049</v>
      </c>
      <c r="E188" s="21">
        <v>36</v>
      </c>
      <c r="F188" s="46" t="s">
        <v>2050</v>
      </c>
      <c r="G188" s="27"/>
      <c r="H188" s="47"/>
      <c r="I188" s="47"/>
      <c r="J188" s="229"/>
      <c r="K188" s="28"/>
      <c r="L188" s="28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</row>
    <row r="189" spans="1:27" ht="18.75">
      <c r="A189" s="121"/>
      <c r="B189" s="20" t="str">
        <f t="shared" si="2"/>
        <v>2420</v>
      </c>
      <c r="C189" s="21"/>
      <c r="D189" s="63" t="s">
        <v>2051</v>
      </c>
      <c r="E189" s="21">
        <v>36</v>
      </c>
      <c r="F189" s="46" t="s">
        <v>2052</v>
      </c>
      <c r="G189" s="27"/>
      <c r="H189" s="47"/>
      <c r="I189" s="47"/>
      <c r="J189" s="229"/>
      <c r="K189" s="28"/>
      <c r="L189" s="28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</row>
    <row r="190" spans="1:27" ht="18.75">
      <c r="A190" s="121"/>
      <c r="B190" s="20" t="str">
        <f t="shared" si="2"/>
        <v>2805</v>
      </c>
      <c r="C190" s="21"/>
      <c r="D190" s="63" t="s">
        <v>2053</v>
      </c>
      <c r="E190" s="21">
        <v>36</v>
      </c>
      <c r="F190" s="46" t="s">
        <v>2054</v>
      </c>
      <c r="G190" s="27"/>
      <c r="H190" s="47"/>
      <c r="I190" s="47"/>
      <c r="J190" s="229"/>
      <c r="K190" s="28"/>
      <c r="L190" s="28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</row>
    <row r="191" spans="1:27" ht="18.75">
      <c r="A191" s="121"/>
      <c r="B191" s="20" t="str">
        <f t="shared" si="2"/>
        <v>3230</v>
      </c>
      <c r="C191" s="21"/>
      <c r="D191" s="63" t="s">
        <v>2055</v>
      </c>
      <c r="E191" s="21">
        <v>36</v>
      </c>
      <c r="F191" s="46" t="s">
        <v>2056</v>
      </c>
      <c r="G191" s="27"/>
      <c r="H191" s="47"/>
      <c r="I191" s="47"/>
      <c r="J191" s="229"/>
      <c r="K191" s="28"/>
      <c r="L191" s="28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</row>
    <row r="192" spans="1:27" ht="18.75">
      <c r="A192" s="121"/>
      <c r="B192" s="20" t="str">
        <f t="shared" si="2"/>
        <v>3230</v>
      </c>
      <c r="C192" s="21"/>
      <c r="D192" s="63" t="s">
        <v>2057</v>
      </c>
      <c r="E192" s="21">
        <v>36</v>
      </c>
      <c r="F192" s="46" t="s">
        <v>2058</v>
      </c>
      <c r="G192" s="27"/>
      <c r="H192" s="47"/>
      <c r="I192" s="47"/>
      <c r="J192" s="229"/>
      <c r="K192" s="28"/>
      <c r="L192" s="28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</row>
    <row r="193" spans="1:27" ht="18.75">
      <c r="A193" s="121"/>
      <c r="B193" s="20" t="str">
        <f t="shared" si="2"/>
        <v>3420</v>
      </c>
      <c r="C193" s="21"/>
      <c r="D193" s="63" t="s">
        <v>2059</v>
      </c>
      <c r="E193" s="21">
        <v>36</v>
      </c>
      <c r="F193" s="46" t="s">
        <v>2060</v>
      </c>
      <c r="G193" s="27"/>
      <c r="H193" s="47"/>
      <c r="I193" s="47"/>
      <c r="J193" s="229"/>
      <c r="K193" s="28"/>
      <c r="L193" s="28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</row>
    <row r="194" spans="1:27" ht="18.75">
      <c r="A194" s="121"/>
      <c r="B194" s="20" t="str">
        <f t="shared" ref="B194:B257" si="3">LEFT(D194, SEARCH("",D194,4))</f>
        <v>3432</v>
      </c>
      <c r="C194" s="21"/>
      <c r="D194" s="63" t="s">
        <v>2061</v>
      </c>
      <c r="E194" s="21">
        <v>36</v>
      </c>
      <c r="F194" s="46" t="s">
        <v>2062</v>
      </c>
      <c r="G194" s="27"/>
      <c r="H194" s="47"/>
      <c r="I194" s="47"/>
      <c r="J194" s="229"/>
      <c r="K194" s="28"/>
      <c r="L194" s="28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</row>
    <row r="195" spans="1:27" ht="18.75">
      <c r="A195" s="121"/>
      <c r="B195" s="20" t="str">
        <f t="shared" si="3"/>
        <v>3432</v>
      </c>
      <c r="C195" s="21"/>
      <c r="D195" s="63" t="s">
        <v>2063</v>
      </c>
      <c r="E195" s="21">
        <v>36</v>
      </c>
      <c r="F195" s="46" t="s">
        <v>2064</v>
      </c>
      <c r="G195" s="27"/>
      <c r="H195" s="47"/>
      <c r="I195" s="47"/>
      <c r="J195" s="229"/>
      <c r="K195" s="28"/>
      <c r="L195" s="28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</row>
    <row r="196" spans="1:27" ht="18.75">
      <c r="A196" s="121"/>
      <c r="B196" s="20" t="str">
        <f t="shared" si="3"/>
        <v>3432</v>
      </c>
      <c r="C196" s="21"/>
      <c r="D196" s="63" t="s">
        <v>2065</v>
      </c>
      <c r="E196" s="21">
        <v>36</v>
      </c>
      <c r="F196" s="46" t="s">
        <v>2066</v>
      </c>
      <c r="G196" s="27"/>
      <c r="H196" s="47"/>
      <c r="I196" s="47"/>
      <c r="J196" s="229"/>
      <c r="K196" s="28"/>
      <c r="L196" s="28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</row>
    <row r="197" spans="1:27" ht="18.75">
      <c r="A197" s="121"/>
      <c r="B197" s="20" t="str">
        <f t="shared" si="3"/>
        <v>3439</v>
      </c>
      <c r="C197" s="21"/>
      <c r="D197" s="63" t="s">
        <v>2067</v>
      </c>
      <c r="E197" s="21">
        <v>36</v>
      </c>
      <c r="F197" s="46" t="s">
        <v>2068</v>
      </c>
      <c r="G197" s="27"/>
      <c r="H197" s="47"/>
      <c r="I197" s="47"/>
      <c r="J197" s="229"/>
      <c r="K197" s="28"/>
      <c r="L197" s="28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</row>
    <row r="198" spans="1:27" ht="18.75">
      <c r="A198" s="121"/>
      <c r="B198" s="20" t="str">
        <f t="shared" si="3"/>
        <v>3439</v>
      </c>
      <c r="C198" s="21"/>
      <c r="D198" s="63" t="s">
        <v>2069</v>
      </c>
      <c r="E198" s="21">
        <v>36</v>
      </c>
      <c r="F198" s="46" t="s">
        <v>2070</v>
      </c>
      <c r="G198" s="27"/>
      <c r="H198" s="47"/>
      <c r="I198" s="47"/>
      <c r="J198" s="229"/>
      <c r="K198" s="28"/>
      <c r="L198" s="28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</row>
    <row r="199" spans="1:27" ht="18.75">
      <c r="A199" s="121"/>
      <c r="B199" s="20" t="str">
        <f t="shared" si="3"/>
        <v>3750</v>
      </c>
      <c r="C199" s="21"/>
      <c r="D199" s="63" t="s">
        <v>2071</v>
      </c>
      <c r="E199" s="21">
        <v>36</v>
      </c>
      <c r="F199" s="46" t="s">
        <v>2072</v>
      </c>
      <c r="G199" s="27"/>
      <c r="H199" s="47"/>
      <c r="I199" s="47"/>
      <c r="J199" s="229"/>
      <c r="K199" s="28"/>
      <c r="L199" s="28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</row>
    <row r="200" spans="1:27" ht="18.75">
      <c r="A200" s="121"/>
      <c r="B200" s="20" t="str">
        <f t="shared" si="3"/>
        <v>3750</v>
      </c>
      <c r="C200" s="21"/>
      <c r="D200" s="63" t="s">
        <v>2073</v>
      </c>
      <c r="E200" s="21">
        <v>36</v>
      </c>
      <c r="F200" s="46" t="s">
        <v>2074</v>
      </c>
      <c r="G200" s="27"/>
      <c r="H200" s="47">
        <v>7975</v>
      </c>
      <c r="I200" s="47"/>
      <c r="J200" s="229"/>
      <c r="K200" s="28"/>
      <c r="L200" s="28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</row>
    <row r="201" spans="1:27" ht="37.5">
      <c r="A201" s="121"/>
      <c r="B201" s="20" t="str">
        <f t="shared" si="3"/>
        <v>3750</v>
      </c>
      <c r="C201" s="21"/>
      <c r="D201" s="63" t="s">
        <v>2075</v>
      </c>
      <c r="E201" s="21">
        <v>36</v>
      </c>
      <c r="F201" s="46" t="s">
        <v>2076</v>
      </c>
      <c r="G201" s="27"/>
      <c r="H201" s="47"/>
      <c r="I201" s="47"/>
      <c r="J201" s="229"/>
      <c r="K201" s="28"/>
      <c r="L201" s="28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</row>
    <row r="202" spans="1:27" ht="18.75">
      <c r="A202" s="121"/>
      <c r="B202" s="20" t="str">
        <f t="shared" si="3"/>
        <v>3750</v>
      </c>
      <c r="C202" s="21"/>
      <c r="D202" s="63" t="s">
        <v>2071</v>
      </c>
      <c r="E202" s="21">
        <v>36</v>
      </c>
      <c r="F202" s="46" t="s">
        <v>2077</v>
      </c>
      <c r="G202" s="27"/>
      <c r="H202" s="47"/>
      <c r="I202" s="47"/>
      <c r="J202" s="229"/>
      <c r="K202" s="28"/>
      <c r="L202" s="28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</row>
    <row r="203" spans="1:27" ht="18.75">
      <c r="A203" s="121"/>
      <c r="B203" s="20" t="str">
        <f t="shared" si="3"/>
        <v>3895</v>
      </c>
      <c r="C203" s="21"/>
      <c r="D203" s="63" t="s">
        <v>2078</v>
      </c>
      <c r="E203" s="21">
        <v>36</v>
      </c>
      <c r="F203" s="46" t="s">
        <v>2079</v>
      </c>
      <c r="G203" s="27"/>
      <c r="H203" s="47"/>
      <c r="I203" s="47"/>
      <c r="J203" s="229"/>
      <c r="K203" s="28"/>
      <c r="L203" s="28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</row>
    <row r="204" spans="1:27" ht="18.75">
      <c r="A204" s="121"/>
      <c r="B204" s="20" t="str">
        <f t="shared" si="3"/>
        <v>3940</v>
      </c>
      <c r="C204" s="21"/>
      <c r="D204" s="63" t="s">
        <v>2080</v>
      </c>
      <c r="E204" s="21">
        <v>36</v>
      </c>
      <c r="F204" s="46" t="s">
        <v>2081</v>
      </c>
      <c r="G204" s="27"/>
      <c r="H204" s="47"/>
      <c r="I204" s="47"/>
      <c r="J204" s="229"/>
      <c r="K204" s="28"/>
      <c r="L204" s="28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</row>
    <row r="205" spans="1:27" ht="18.75">
      <c r="A205" s="121"/>
      <c r="B205" s="20" t="str">
        <f t="shared" si="3"/>
        <v>3960</v>
      </c>
      <c r="C205" s="21"/>
      <c r="D205" s="63" t="s">
        <v>2082</v>
      </c>
      <c r="E205" s="21">
        <v>36</v>
      </c>
      <c r="F205" s="46" t="s">
        <v>2083</v>
      </c>
      <c r="G205" s="27"/>
      <c r="H205" s="47"/>
      <c r="I205" s="47"/>
      <c r="J205" s="229"/>
      <c r="K205" s="28"/>
      <c r="L205" s="28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</row>
    <row r="206" spans="1:27" ht="37.5">
      <c r="A206" s="121"/>
      <c r="B206" s="20" t="str">
        <f t="shared" si="3"/>
        <v>4120</v>
      </c>
      <c r="C206" s="21"/>
      <c r="D206" s="63" t="s">
        <v>2084</v>
      </c>
      <c r="E206" s="21">
        <v>36</v>
      </c>
      <c r="F206" s="46" t="s">
        <v>2085</v>
      </c>
      <c r="G206" s="27"/>
      <c r="H206" s="47"/>
      <c r="I206" s="47"/>
      <c r="J206" s="229"/>
      <c r="K206" s="28"/>
      <c r="L206" s="28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</row>
    <row r="207" spans="1:27" ht="37.5">
      <c r="A207" s="121"/>
      <c r="B207" s="20" t="str">
        <f t="shared" si="3"/>
        <v>4120</v>
      </c>
      <c r="C207" s="21"/>
      <c r="D207" s="63" t="s">
        <v>2086</v>
      </c>
      <c r="E207" s="21">
        <v>36</v>
      </c>
      <c r="F207" s="46" t="s">
        <v>2087</v>
      </c>
      <c r="G207" s="27"/>
      <c r="H207" s="47"/>
      <c r="I207" s="47"/>
      <c r="J207" s="229"/>
      <c r="K207" s="28"/>
      <c r="L207" s="28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</row>
    <row r="208" spans="1:27" ht="18.75">
      <c r="A208" s="121"/>
      <c r="B208" s="20" t="str">
        <f t="shared" si="3"/>
        <v>4310</v>
      </c>
      <c r="C208" s="21"/>
      <c r="D208" s="63" t="s">
        <v>2088</v>
      </c>
      <c r="E208" s="21">
        <v>36</v>
      </c>
      <c r="F208" s="46" t="s">
        <v>2089</v>
      </c>
      <c r="G208" s="27"/>
      <c r="H208" s="47"/>
      <c r="I208" s="47"/>
      <c r="J208" s="229"/>
      <c r="K208" s="28"/>
      <c r="L208" s="28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</row>
    <row r="209" spans="1:27" ht="37.5">
      <c r="A209" s="121"/>
      <c r="B209" s="20" t="str">
        <f t="shared" si="3"/>
        <v>4310</v>
      </c>
      <c r="C209" s="21"/>
      <c r="D209" s="63" t="s">
        <v>2090</v>
      </c>
      <c r="E209" s="21">
        <v>36</v>
      </c>
      <c r="F209" s="46" t="s">
        <v>2091</v>
      </c>
      <c r="G209" s="27"/>
      <c r="H209" s="47"/>
      <c r="I209" s="47"/>
      <c r="J209" s="229"/>
      <c r="K209" s="28"/>
      <c r="L209" s="28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</row>
    <row r="210" spans="1:27" ht="18.75">
      <c r="A210" s="121"/>
      <c r="B210" s="20" t="str">
        <f t="shared" si="3"/>
        <v>4320</v>
      </c>
      <c r="C210" s="21"/>
      <c r="D210" s="63" t="s">
        <v>2092</v>
      </c>
      <c r="E210" s="21">
        <v>36</v>
      </c>
      <c r="F210" s="46" t="s">
        <v>2093</v>
      </c>
      <c r="G210" s="27"/>
      <c r="H210" s="47"/>
      <c r="I210" s="47"/>
      <c r="J210" s="229"/>
      <c r="K210" s="28"/>
      <c r="L210" s="28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</row>
    <row r="211" spans="1:27" ht="37.5">
      <c r="A211" s="121"/>
      <c r="B211" s="20" t="str">
        <f t="shared" si="3"/>
        <v>4320</v>
      </c>
      <c r="C211" s="21"/>
      <c r="D211" s="63" t="s">
        <v>2094</v>
      </c>
      <c r="E211" s="21">
        <v>36</v>
      </c>
      <c r="F211" s="46" t="s">
        <v>2095</v>
      </c>
      <c r="G211" s="27"/>
      <c r="H211" s="47"/>
      <c r="I211" s="47"/>
      <c r="J211" s="229"/>
      <c r="K211" s="28"/>
      <c r="L211" s="28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</row>
    <row r="212" spans="1:27" ht="37.5">
      <c r="A212" s="121"/>
      <c r="B212" s="20" t="str">
        <f t="shared" si="3"/>
        <v>4320</v>
      </c>
      <c r="C212" s="21"/>
      <c r="D212" s="63" t="s">
        <v>2096</v>
      </c>
      <c r="E212" s="21">
        <v>36</v>
      </c>
      <c r="F212" s="46" t="s">
        <v>2097</v>
      </c>
      <c r="G212" s="27"/>
      <c r="H212" s="47"/>
      <c r="I212" s="47"/>
      <c r="J212" s="229"/>
      <c r="K212" s="28"/>
      <c r="L212" s="28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</row>
    <row r="213" spans="1:27" ht="18.75">
      <c r="A213" s="121"/>
      <c r="B213" s="20" t="str">
        <f t="shared" si="3"/>
        <v>4320</v>
      </c>
      <c r="C213" s="21"/>
      <c r="D213" s="63" t="s">
        <v>2099</v>
      </c>
      <c r="E213" s="21">
        <v>36</v>
      </c>
      <c r="F213" s="46" t="s">
        <v>2100</v>
      </c>
      <c r="G213" s="27"/>
      <c r="H213" s="47"/>
      <c r="I213" s="47"/>
      <c r="J213" s="229"/>
      <c r="K213" s="28"/>
      <c r="L213" s="28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</row>
    <row r="214" spans="1:27" ht="18.75">
      <c r="A214" s="121"/>
      <c r="B214" s="20" t="str">
        <f t="shared" si="3"/>
        <v>4320</v>
      </c>
      <c r="C214" s="21"/>
      <c r="D214" s="63" t="s">
        <v>2102</v>
      </c>
      <c r="E214" s="21">
        <v>36</v>
      </c>
      <c r="F214" s="46" t="s">
        <v>2103</v>
      </c>
      <c r="G214" s="27"/>
      <c r="H214" s="47"/>
      <c r="I214" s="47"/>
      <c r="J214" s="229"/>
      <c r="K214" s="28"/>
      <c r="L214" s="28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</row>
    <row r="215" spans="1:27" ht="18.75">
      <c r="A215" s="121"/>
      <c r="B215" s="20" t="str">
        <f t="shared" si="3"/>
        <v>4320</v>
      </c>
      <c r="C215" s="21"/>
      <c r="D215" s="63" t="s">
        <v>2109</v>
      </c>
      <c r="E215" s="21">
        <v>36</v>
      </c>
      <c r="F215" s="46" t="s">
        <v>2110</v>
      </c>
      <c r="G215" s="27"/>
      <c r="H215" s="47"/>
      <c r="I215" s="47"/>
      <c r="J215" s="229"/>
      <c r="K215" s="28"/>
      <c r="L215" s="28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</row>
    <row r="216" spans="1:27" ht="18.75">
      <c r="A216" s="121"/>
      <c r="B216" s="20" t="str">
        <f t="shared" si="3"/>
        <v>4320</v>
      </c>
      <c r="C216" s="21"/>
      <c r="D216" s="63" t="s">
        <v>2114</v>
      </c>
      <c r="E216" s="21">
        <v>36</v>
      </c>
      <c r="F216" s="46" t="s">
        <v>2117</v>
      </c>
      <c r="G216" s="27"/>
      <c r="H216" s="47"/>
      <c r="I216" s="47"/>
      <c r="J216" s="229"/>
      <c r="K216" s="28"/>
      <c r="L216" s="28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</row>
    <row r="217" spans="1:27" ht="37.5">
      <c r="A217" s="121"/>
      <c r="B217" s="20" t="str">
        <f t="shared" si="3"/>
        <v>4320</v>
      </c>
      <c r="C217" s="21"/>
      <c r="D217" s="63" t="s">
        <v>2132</v>
      </c>
      <c r="E217" s="21">
        <v>36</v>
      </c>
      <c r="F217" s="46" t="s">
        <v>2133</v>
      </c>
      <c r="G217" s="27"/>
      <c r="H217" s="47"/>
      <c r="I217" s="47"/>
      <c r="J217" s="229"/>
      <c r="K217" s="28"/>
      <c r="L217" s="28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</row>
    <row r="218" spans="1:27" ht="37.5">
      <c r="A218" s="121"/>
      <c r="B218" s="20" t="str">
        <f t="shared" si="3"/>
        <v>4320</v>
      </c>
      <c r="C218" s="21"/>
      <c r="D218" s="63" t="s">
        <v>2142</v>
      </c>
      <c r="E218" s="21">
        <v>36</v>
      </c>
      <c r="F218" s="46" t="s">
        <v>2146</v>
      </c>
      <c r="G218" s="27"/>
      <c r="H218" s="47"/>
      <c r="I218" s="47"/>
      <c r="J218" s="229"/>
      <c r="K218" s="28"/>
      <c r="L218" s="28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</row>
    <row r="219" spans="1:27" ht="37.5">
      <c r="A219" s="121"/>
      <c r="B219" s="20" t="str">
        <f t="shared" si="3"/>
        <v>4320</v>
      </c>
      <c r="C219" s="21"/>
      <c r="D219" s="63" t="s">
        <v>2167</v>
      </c>
      <c r="E219" s="21">
        <v>36</v>
      </c>
      <c r="F219" s="46" t="s">
        <v>2170</v>
      </c>
      <c r="G219" s="27"/>
      <c r="H219" s="47"/>
      <c r="I219" s="47"/>
      <c r="J219" s="229"/>
      <c r="K219" s="28"/>
      <c r="L219" s="28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</row>
    <row r="220" spans="1:27" ht="18.75">
      <c r="A220" s="121"/>
      <c r="B220" s="20" t="str">
        <f t="shared" si="3"/>
        <v>4320</v>
      </c>
      <c r="C220" s="21"/>
      <c r="D220" s="63" t="s">
        <v>2190</v>
      </c>
      <c r="E220" s="21">
        <v>36</v>
      </c>
      <c r="F220" s="46" t="s">
        <v>2194</v>
      </c>
      <c r="G220" s="27"/>
      <c r="H220" s="47"/>
      <c r="I220" s="47"/>
      <c r="J220" s="229"/>
      <c r="K220" s="28"/>
      <c r="L220" s="28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</row>
    <row r="221" spans="1:27" ht="18.75">
      <c r="A221" s="121"/>
      <c r="B221" s="20" t="str">
        <f t="shared" si="3"/>
        <v>4320</v>
      </c>
      <c r="C221" s="21"/>
      <c r="D221" s="63" t="s">
        <v>2221</v>
      </c>
      <c r="E221" s="21">
        <v>36</v>
      </c>
      <c r="F221" s="46" t="s">
        <v>2226</v>
      </c>
      <c r="G221" s="27"/>
      <c r="H221" s="47"/>
      <c r="I221" s="47"/>
      <c r="J221" s="229"/>
      <c r="K221" s="28"/>
      <c r="L221" s="28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</row>
    <row r="222" spans="1:27" ht="37.5">
      <c r="A222" s="121"/>
      <c r="B222" s="20" t="str">
        <f t="shared" si="3"/>
        <v>4320</v>
      </c>
      <c r="C222" s="21"/>
      <c r="D222" s="63" t="s">
        <v>2230</v>
      </c>
      <c r="E222" s="21">
        <v>36</v>
      </c>
      <c r="F222" s="46" t="s">
        <v>2232</v>
      </c>
      <c r="G222" s="27"/>
      <c r="H222" s="47"/>
      <c r="I222" s="47"/>
      <c r="J222" s="229"/>
      <c r="K222" s="28"/>
      <c r="L222" s="28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</row>
    <row r="223" spans="1:27" ht="37.5">
      <c r="A223" s="121"/>
      <c r="B223" s="20" t="str">
        <f t="shared" si="3"/>
        <v>4320</v>
      </c>
      <c r="C223" s="21"/>
      <c r="D223" s="63" t="s">
        <v>2249</v>
      </c>
      <c r="E223" s="21">
        <v>36</v>
      </c>
      <c r="F223" s="46" t="s">
        <v>2252</v>
      </c>
      <c r="G223" s="27"/>
      <c r="H223" s="47"/>
      <c r="I223" s="47"/>
      <c r="J223" s="229"/>
      <c r="K223" s="28"/>
      <c r="L223" s="28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</row>
    <row r="224" spans="1:27" ht="37.5">
      <c r="A224" s="121"/>
      <c r="B224" s="20" t="str">
        <f t="shared" si="3"/>
        <v>4320</v>
      </c>
      <c r="C224" s="21"/>
      <c r="D224" s="63" t="s">
        <v>2268</v>
      </c>
      <c r="E224" s="21">
        <v>36</v>
      </c>
      <c r="F224" s="46" t="s">
        <v>2272</v>
      </c>
      <c r="G224" s="27"/>
      <c r="H224" s="47"/>
      <c r="I224" s="47"/>
      <c r="J224" s="229"/>
      <c r="K224" s="28"/>
      <c r="L224" s="28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</row>
    <row r="225" spans="1:27" ht="37.5">
      <c r="A225" s="121"/>
      <c r="B225" s="20" t="str">
        <f t="shared" si="3"/>
        <v>4320</v>
      </c>
      <c r="C225" s="21"/>
      <c r="D225" s="63" t="s">
        <v>2300</v>
      </c>
      <c r="E225" s="21">
        <v>36</v>
      </c>
      <c r="F225" s="46" t="s">
        <v>2303</v>
      </c>
      <c r="G225" s="27"/>
      <c r="H225" s="47"/>
      <c r="I225" s="47"/>
      <c r="J225" s="229"/>
      <c r="K225" s="28"/>
      <c r="L225" s="28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</row>
    <row r="226" spans="1:27" ht="37.5">
      <c r="A226" s="121"/>
      <c r="B226" s="20" t="str">
        <f t="shared" si="3"/>
        <v>4320</v>
      </c>
      <c r="C226" s="21"/>
      <c r="D226" s="63" t="s">
        <v>2304</v>
      </c>
      <c r="E226" s="21">
        <v>36</v>
      </c>
      <c r="F226" s="46" t="s">
        <v>2305</v>
      </c>
      <c r="G226" s="27"/>
      <c r="H226" s="47"/>
      <c r="I226" s="47"/>
      <c r="J226" s="229"/>
      <c r="K226" s="28"/>
      <c r="L226" s="28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</row>
    <row r="227" spans="1:27" ht="37.5">
      <c r="A227" s="121"/>
      <c r="B227" s="20" t="str">
        <f t="shared" si="3"/>
        <v>4320</v>
      </c>
      <c r="C227" s="21"/>
      <c r="D227" s="63" t="s">
        <v>2306</v>
      </c>
      <c r="E227" s="21">
        <v>36</v>
      </c>
      <c r="F227" s="46" t="s">
        <v>2307</v>
      </c>
      <c r="G227" s="27"/>
      <c r="H227" s="47"/>
      <c r="I227" s="47"/>
      <c r="J227" s="229"/>
      <c r="K227" s="28"/>
      <c r="L227" s="28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</row>
    <row r="228" spans="1:27" ht="18.75">
      <c r="A228" s="121"/>
      <c r="B228" s="20" t="str">
        <f t="shared" si="3"/>
        <v>4320</v>
      </c>
      <c r="C228" s="21"/>
      <c r="D228" s="63" t="s">
        <v>2308</v>
      </c>
      <c r="E228" s="21">
        <v>36</v>
      </c>
      <c r="F228" s="46" t="s">
        <v>2309</v>
      </c>
      <c r="G228" s="27"/>
      <c r="H228" s="47"/>
      <c r="I228" s="47"/>
      <c r="J228" s="229"/>
      <c r="K228" s="28"/>
      <c r="L228" s="28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</row>
    <row r="229" spans="1:27" ht="18.75">
      <c r="A229" s="121"/>
      <c r="B229" s="20" t="str">
        <f t="shared" si="3"/>
        <v>4610</v>
      </c>
      <c r="C229" s="21"/>
      <c r="D229" s="63" t="s">
        <v>2310</v>
      </c>
      <c r="E229" s="21">
        <v>36</v>
      </c>
      <c r="F229" s="46" t="s">
        <v>2311</v>
      </c>
      <c r="G229" s="27"/>
      <c r="H229" s="47"/>
      <c r="I229" s="47"/>
      <c r="J229" s="229"/>
      <c r="K229" s="28"/>
      <c r="L229" s="28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</row>
    <row r="230" spans="1:27" ht="18.75">
      <c r="A230" s="121"/>
      <c r="B230" s="20" t="str">
        <f t="shared" si="3"/>
        <v>4610</v>
      </c>
      <c r="C230" s="21"/>
      <c r="D230" s="63" t="s">
        <v>2312</v>
      </c>
      <c r="E230" s="21">
        <v>36</v>
      </c>
      <c r="F230" s="46" t="s">
        <v>2313</v>
      </c>
      <c r="G230" s="27"/>
      <c r="H230" s="47"/>
      <c r="I230" s="47"/>
      <c r="J230" s="229"/>
      <c r="K230" s="28"/>
      <c r="L230" s="28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</row>
    <row r="231" spans="1:27" ht="18.75">
      <c r="A231" s="121"/>
      <c r="B231" s="20" t="str">
        <f t="shared" si="3"/>
        <v>4610</v>
      </c>
      <c r="C231" s="21"/>
      <c r="D231" s="63" t="s">
        <v>2314</v>
      </c>
      <c r="E231" s="21">
        <v>36</v>
      </c>
      <c r="F231" s="46" t="s">
        <v>2315</v>
      </c>
      <c r="G231" s="27"/>
      <c r="H231" s="47"/>
      <c r="I231" s="47"/>
      <c r="J231" s="229"/>
      <c r="K231" s="28"/>
      <c r="L231" s="28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</row>
    <row r="232" spans="1:27" ht="18.75">
      <c r="A232" s="121"/>
      <c r="B232" s="20" t="str">
        <f t="shared" si="3"/>
        <v>4630</v>
      </c>
      <c r="C232" s="21"/>
      <c r="D232" s="63" t="s">
        <v>2316</v>
      </c>
      <c r="E232" s="21">
        <v>36</v>
      </c>
      <c r="F232" s="46" t="s">
        <v>2317</v>
      </c>
      <c r="G232" s="27"/>
      <c r="H232" s="47"/>
      <c r="I232" s="47"/>
      <c r="J232" s="229"/>
      <c r="K232" s="28"/>
      <c r="L232" s="28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</row>
    <row r="233" spans="1:27" ht="18.75">
      <c r="A233" s="121"/>
      <c r="B233" s="20" t="str">
        <f t="shared" si="3"/>
        <v>5110</v>
      </c>
      <c r="C233" s="21"/>
      <c r="D233" s="63" t="s">
        <v>2318</v>
      </c>
      <c r="E233" s="21">
        <v>36</v>
      </c>
      <c r="F233" s="46" t="s">
        <v>2319</v>
      </c>
      <c r="G233" s="27"/>
      <c r="H233" s="47"/>
      <c r="I233" s="47"/>
      <c r="J233" s="229"/>
      <c r="K233" s="28"/>
      <c r="L233" s="28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</row>
    <row r="234" spans="1:27" ht="18.75">
      <c r="A234" s="121"/>
      <c r="B234" s="20" t="str">
        <f t="shared" si="3"/>
        <v>5130</v>
      </c>
      <c r="C234" s="21"/>
      <c r="D234" s="63" t="s">
        <v>2320</v>
      </c>
      <c r="E234" s="21">
        <v>36</v>
      </c>
      <c r="F234" s="46" t="s">
        <v>2321</v>
      </c>
      <c r="G234" s="27"/>
      <c r="H234" s="47">
        <v>18150</v>
      </c>
      <c r="I234" s="47"/>
      <c r="J234" s="229"/>
      <c r="K234" s="28"/>
      <c r="L234" s="28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</row>
    <row r="235" spans="1:27" ht="18.75">
      <c r="A235" s="121"/>
      <c r="B235" s="20" t="str">
        <f t="shared" si="3"/>
        <v>5130</v>
      </c>
      <c r="C235" s="21"/>
      <c r="D235" s="63" t="s">
        <v>2322</v>
      </c>
      <c r="E235" s="21">
        <v>36</v>
      </c>
      <c r="F235" s="46" t="s">
        <v>2323</v>
      </c>
      <c r="G235" s="27"/>
      <c r="H235" s="47"/>
      <c r="I235" s="47"/>
      <c r="J235" s="229"/>
      <c r="K235" s="28"/>
      <c r="L235" s="28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</row>
    <row r="236" spans="1:27" ht="18.75">
      <c r="A236" s="121"/>
      <c r="B236" s="20" t="str">
        <f t="shared" si="3"/>
        <v>5130</v>
      </c>
      <c r="C236" s="21"/>
      <c r="D236" s="63" t="s">
        <v>2324</v>
      </c>
      <c r="E236" s="21">
        <v>36</v>
      </c>
      <c r="F236" s="46" t="s">
        <v>2325</v>
      </c>
      <c r="G236" s="27"/>
      <c r="H236" s="47"/>
      <c r="I236" s="47"/>
      <c r="J236" s="229"/>
      <c r="K236" s="28"/>
      <c r="L236" s="28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</row>
    <row r="237" spans="1:27" ht="18.75">
      <c r="A237" s="121"/>
      <c r="B237" s="20" t="str">
        <f t="shared" si="3"/>
        <v>5130</v>
      </c>
      <c r="C237" s="21"/>
      <c r="D237" s="63" t="s">
        <v>2326</v>
      </c>
      <c r="E237" s="21">
        <v>36</v>
      </c>
      <c r="F237" s="46" t="s">
        <v>2327</v>
      </c>
      <c r="G237" s="27"/>
      <c r="H237" s="47"/>
      <c r="I237" s="47"/>
      <c r="J237" s="229"/>
      <c r="K237" s="28"/>
      <c r="L237" s="28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</row>
    <row r="238" spans="1:27" ht="18.75">
      <c r="A238" s="121"/>
      <c r="B238" s="20" t="str">
        <f t="shared" si="3"/>
        <v>5130</v>
      </c>
      <c r="C238" s="21"/>
      <c r="D238" s="63" t="s">
        <v>2328</v>
      </c>
      <c r="E238" s="21">
        <v>36</v>
      </c>
      <c r="F238" s="46" t="s">
        <v>2329</v>
      </c>
      <c r="G238" s="27"/>
      <c r="H238" s="47">
        <v>18150</v>
      </c>
      <c r="I238" s="47"/>
      <c r="J238" s="229"/>
      <c r="K238" s="28"/>
      <c r="L238" s="28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</row>
    <row r="239" spans="1:27" ht="18.75">
      <c r="A239" s="121"/>
      <c r="B239" s="20" t="str">
        <f t="shared" si="3"/>
        <v>5130</v>
      </c>
      <c r="C239" s="21"/>
      <c r="D239" s="63" t="s">
        <v>2330</v>
      </c>
      <c r="E239" s="21">
        <v>36</v>
      </c>
      <c r="F239" s="46" t="s">
        <v>2331</v>
      </c>
      <c r="G239" s="27"/>
      <c r="H239" s="47"/>
      <c r="I239" s="47"/>
      <c r="J239" s="229"/>
      <c r="K239" s="28"/>
      <c r="L239" s="28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</row>
    <row r="240" spans="1:27" ht="18.75">
      <c r="A240" s="121"/>
      <c r="B240" s="20" t="str">
        <f t="shared" si="3"/>
        <v>5136</v>
      </c>
      <c r="C240" s="21"/>
      <c r="D240" s="63" t="s">
        <v>2332</v>
      </c>
      <c r="E240" s="21">
        <v>36</v>
      </c>
      <c r="F240" s="46" t="s">
        <v>2333</v>
      </c>
      <c r="G240" s="27"/>
      <c r="H240" s="47"/>
      <c r="I240" s="47"/>
      <c r="J240" s="229"/>
      <c r="K240" s="28"/>
      <c r="L240" s="28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</row>
    <row r="241" spans="1:27" ht="18.75">
      <c r="A241" s="121"/>
      <c r="B241" s="20" t="str">
        <f t="shared" si="3"/>
        <v>5430</v>
      </c>
      <c r="C241" s="21"/>
      <c r="D241" s="63" t="s">
        <v>2334</v>
      </c>
      <c r="E241" s="21">
        <v>36</v>
      </c>
      <c r="F241" s="46" t="s">
        <v>2335</v>
      </c>
      <c r="G241" s="27"/>
      <c r="H241" s="47"/>
      <c r="I241" s="47"/>
      <c r="J241" s="229"/>
      <c r="K241" s="28"/>
      <c r="L241" s="28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</row>
    <row r="242" spans="1:27" ht="18.75">
      <c r="A242" s="121"/>
      <c r="B242" s="20" t="str">
        <f t="shared" si="3"/>
        <v>5430</v>
      </c>
      <c r="C242" s="21"/>
      <c r="D242" s="63" t="s">
        <v>2336</v>
      </c>
      <c r="E242" s="21">
        <v>36</v>
      </c>
      <c r="F242" s="46" t="s">
        <v>2337</v>
      </c>
      <c r="G242" s="27"/>
      <c r="H242" s="47"/>
      <c r="I242" s="47"/>
      <c r="J242" s="229"/>
      <c r="K242" s="28"/>
      <c r="L242" s="28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</row>
    <row r="243" spans="1:27" ht="18.75">
      <c r="A243" s="121"/>
      <c r="B243" s="20" t="str">
        <f t="shared" si="3"/>
        <v>6110</v>
      </c>
      <c r="C243" s="21"/>
      <c r="D243" s="63" t="s">
        <v>2338</v>
      </c>
      <c r="E243" s="21">
        <v>36</v>
      </c>
      <c r="F243" s="46" t="s">
        <v>2339</v>
      </c>
      <c r="G243" s="27"/>
      <c r="H243" s="47"/>
      <c r="I243" s="47"/>
      <c r="J243" s="229"/>
      <c r="K243" s="28"/>
      <c r="L243" s="28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</row>
    <row r="244" spans="1:27" ht="18.75">
      <c r="A244" s="121"/>
      <c r="B244" s="20" t="str">
        <f t="shared" si="3"/>
        <v>6110</v>
      </c>
      <c r="C244" s="21"/>
      <c r="D244" s="63" t="s">
        <v>2340</v>
      </c>
      <c r="E244" s="21">
        <v>36</v>
      </c>
      <c r="F244" s="46" t="s">
        <v>2341</v>
      </c>
      <c r="G244" s="27"/>
      <c r="H244" s="47"/>
      <c r="I244" s="47"/>
      <c r="J244" s="229"/>
      <c r="K244" s="28"/>
      <c r="L244" s="28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</row>
    <row r="245" spans="1:27" ht="18.75">
      <c r="A245" s="121"/>
      <c r="B245" s="20" t="str">
        <f t="shared" si="3"/>
        <v>6110</v>
      </c>
      <c r="C245" s="21"/>
      <c r="D245" s="63" t="s">
        <v>2342</v>
      </c>
      <c r="E245" s="21">
        <v>36</v>
      </c>
      <c r="F245" s="46" t="s">
        <v>2343</v>
      </c>
      <c r="G245" s="27"/>
      <c r="H245" s="47"/>
      <c r="I245" s="47"/>
      <c r="J245" s="229"/>
      <c r="K245" s="28"/>
      <c r="L245" s="28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</row>
    <row r="246" spans="1:27" ht="18.75">
      <c r="A246" s="121"/>
      <c r="B246" s="20" t="str">
        <f t="shared" si="3"/>
        <v>6110</v>
      </c>
      <c r="C246" s="21"/>
      <c r="D246" s="63" t="s">
        <v>2344</v>
      </c>
      <c r="E246" s="21">
        <v>36</v>
      </c>
      <c r="F246" s="46" t="s">
        <v>2345</v>
      </c>
      <c r="G246" s="27"/>
      <c r="H246" s="47"/>
      <c r="I246" s="47"/>
      <c r="J246" s="229"/>
      <c r="K246" s="28"/>
      <c r="L246" s="28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</row>
    <row r="247" spans="1:27" ht="37.5">
      <c r="A247" s="121"/>
      <c r="B247" s="20" t="str">
        <f t="shared" si="3"/>
        <v>6110</v>
      </c>
      <c r="C247" s="21"/>
      <c r="D247" s="63" t="s">
        <v>2346</v>
      </c>
      <c r="E247" s="21">
        <v>36</v>
      </c>
      <c r="F247" s="46" t="s">
        <v>2347</v>
      </c>
      <c r="G247" s="27"/>
      <c r="H247" s="47"/>
      <c r="I247" s="47"/>
      <c r="J247" s="229"/>
      <c r="K247" s="28"/>
      <c r="L247" s="28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</row>
    <row r="248" spans="1:27" ht="18.75">
      <c r="A248" s="121"/>
      <c r="B248" s="20" t="str">
        <f t="shared" si="3"/>
        <v>6125</v>
      </c>
      <c r="C248" s="21"/>
      <c r="D248" s="63" t="s">
        <v>2348</v>
      </c>
      <c r="E248" s="21">
        <v>36</v>
      </c>
      <c r="F248" s="46" t="s">
        <v>2349</v>
      </c>
      <c r="G248" s="27"/>
      <c r="H248" s="47"/>
      <c r="I248" s="47"/>
      <c r="J248" s="229"/>
      <c r="K248" s="28"/>
      <c r="L248" s="28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</row>
    <row r="249" spans="1:27" ht="18.75">
      <c r="A249" s="121"/>
      <c r="B249" s="20" t="str">
        <f t="shared" si="3"/>
        <v>6130</v>
      </c>
      <c r="C249" s="21"/>
      <c r="D249" s="63" t="s">
        <v>2350</v>
      </c>
      <c r="E249" s="21">
        <v>36</v>
      </c>
      <c r="F249" s="46" t="s">
        <v>2351</v>
      </c>
      <c r="G249" s="27"/>
      <c r="H249" s="47"/>
      <c r="I249" s="47"/>
      <c r="J249" s="229"/>
      <c r="K249" s="28"/>
      <c r="L249" s="28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</row>
    <row r="250" spans="1:27" ht="18.75">
      <c r="A250" s="121"/>
      <c r="B250" s="20" t="str">
        <f t="shared" si="3"/>
        <v>6150</v>
      </c>
      <c r="C250" s="21"/>
      <c r="D250" s="63" t="s">
        <v>2352</v>
      </c>
      <c r="E250" s="21">
        <v>36</v>
      </c>
      <c r="F250" s="46" t="s">
        <v>2353</v>
      </c>
      <c r="G250" s="27"/>
      <c r="H250" s="47"/>
      <c r="I250" s="47"/>
      <c r="J250" s="229"/>
      <c r="K250" s="28"/>
      <c r="L250" s="28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</row>
    <row r="251" spans="1:27" ht="18.75">
      <c r="A251" s="121"/>
      <c r="B251" s="20" t="str">
        <f t="shared" si="3"/>
        <v>6210</v>
      </c>
      <c r="C251" s="21"/>
      <c r="D251" s="63" t="s">
        <v>2354</v>
      </c>
      <c r="E251" s="21">
        <v>36</v>
      </c>
      <c r="F251" s="46" t="s">
        <v>2355</v>
      </c>
      <c r="G251" s="27"/>
      <c r="H251" s="47"/>
      <c r="I251" s="47"/>
      <c r="J251" s="229"/>
      <c r="K251" s="28"/>
      <c r="L251" s="28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</row>
    <row r="252" spans="1:27" ht="18.75">
      <c r="A252" s="121"/>
      <c r="B252" s="20" t="str">
        <f t="shared" si="3"/>
        <v>6210</v>
      </c>
      <c r="C252" s="21"/>
      <c r="D252" s="63" t="s">
        <v>2357</v>
      </c>
      <c r="E252" s="21">
        <v>36</v>
      </c>
      <c r="F252" s="46" t="s">
        <v>2355</v>
      </c>
      <c r="G252" s="27"/>
      <c r="H252" s="47"/>
      <c r="I252" s="47"/>
      <c r="J252" s="229"/>
      <c r="K252" s="28"/>
      <c r="L252" s="28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</row>
    <row r="253" spans="1:27" ht="18.75">
      <c r="A253" s="121"/>
      <c r="B253" s="20" t="str">
        <f t="shared" si="3"/>
        <v>8110</v>
      </c>
      <c r="C253" s="21"/>
      <c r="D253" s="63" t="s">
        <v>2359</v>
      </c>
      <c r="E253" s="21">
        <v>36</v>
      </c>
      <c r="F253" s="46" t="s">
        <v>2360</v>
      </c>
      <c r="G253" s="27"/>
      <c r="H253" s="47"/>
      <c r="I253" s="47"/>
      <c r="J253" s="229"/>
      <c r="K253" s="28"/>
      <c r="L253" s="28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</row>
    <row r="254" spans="1:27" ht="18.75">
      <c r="A254" s="121"/>
      <c r="B254" s="20" t="str">
        <f t="shared" si="3"/>
        <v>2320</v>
      </c>
      <c r="C254" s="21"/>
      <c r="D254" s="63" t="s">
        <v>2361</v>
      </c>
      <c r="E254" s="21">
        <v>37</v>
      </c>
      <c r="F254" s="46" t="s">
        <v>2362</v>
      </c>
      <c r="G254" s="27"/>
      <c r="H254" s="47"/>
      <c r="I254" s="47"/>
      <c r="J254" s="229"/>
      <c r="K254" s="28"/>
      <c r="L254" s="28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</row>
    <row r="255" spans="1:27" ht="18.75">
      <c r="A255" s="121"/>
      <c r="B255" s="20" t="str">
        <f t="shared" si="3"/>
        <v>2320</v>
      </c>
      <c r="C255" s="21"/>
      <c r="D255" s="63" t="s">
        <v>2363</v>
      </c>
      <c r="E255" s="21">
        <v>37</v>
      </c>
      <c r="F255" s="46" t="s">
        <v>2364</v>
      </c>
      <c r="G255" s="27"/>
      <c r="H255" s="47"/>
      <c r="I255" s="47"/>
      <c r="J255" s="229"/>
      <c r="K255" s="28"/>
      <c r="L255" s="28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</row>
    <row r="256" spans="1:27" ht="18.75">
      <c r="A256" s="121"/>
      <c r="B256" s="20" t="str">
        <f t="shared" si="3"/>
        <v>2420</v>
      </c>
      <c r="C256" s="21"/>
      <c r="D256" s="63" t="s">
        <v>2365</v>
      </c>
      <c r="E256" s="21">
        <v>37</v>
      </c>
      <c r="F256" s="46" t="s">
        <v>2366</v>
      </c>
      <c r="G256" s="27"/>
      <c r="H256" s="47"/>
      <c r="I256" s="47"/>
      <c r="J256" s="229"/>
      <c r="K256" s="28"/>
      <c r="L256" s="28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</row>
    <row r="257" spans="1:27" ht="18.75">
      <c r="A257" s="121"/>
      <c r="B257" s="20" t="str">
        <f t="shared" si="3"/>
        <v>2420</v>
      </c>
      <c r="C257" s="21"/>
      <c r="D257" s="63" t="s">
        <v>2365</v>
      </c>
      <c r="E257" s="21">
        <v>37</v>
      </c>
      <c r="F257" s="46" t="s">
        <v>2370</v>
      </c>
      <c r="G257" s="27"/>
      <c r="H257" s="47"/>
      <c r="I257" s="47"/>
      <c r="J257" s="229"/>
      <c r="K257" s="28"/>
      <c r="L257" s="28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</row>
    <row r="258" spans="1:27" ht="18.75">
      <c r="A258" s="121"/>
      <c r="B258" s="20" t="str">
        <f t="shared" ref="B258:B321" si="4">LEFT(D258, SEARCH("",D258,4))</f>
        <v>3230</v>
      </c>
      <c r="C258" s="21"/>
      <c r="D258" s="63" t="s">
        <v>2372</v>
      </c>
      <c r="E258" s="21">
        <v>37</v>
      </c>
      <c r="F258" s="46" t="s">
        <v>2373</v>
      </c>
      <c r="G258" s="27"/>
      <c r="H258" s="47"/>
      <c r="I258" s="47"/>
      <c r="J258" s="229"/>
      <c r="K258" s="28"/>
      <c r="L258" s="28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</row>
    <row r="259" spans="1:27" ht="18.75">
      <c r="A259" s="121"/>
      <c r="B259" s="20" t="str">
        <f t="shared" si="4"/>
        <v>3405</v>
      </c>
      <c r="C259" s="21"/>
      <c r="D259" s="63" t="s">
        <v>2375</v>
      </c>
      <c r="E259" s="21">
        <v>37</v>
      </c>
      <c r="F259" s="46" t="s">
        <v>2376</v>
      </c>
      <c r="G259" s="27"/>
      <c r="H259" s="47"/>
      <c r="I259" s="47"/>
      <c r="J259" s="229"/>
      <c r="K259" s="28"/>
      <c r="L259" s="28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</row>
    <row r="260" spans="1:27" ht="18.75">
      <c r="A260" s="121"/>
      <c r="B260" s="20" t="str">
        <f t="shared" si="4"/>
        <v>3413</v>
      </c>
      <c r="C260" s="21"/>
      <c r="D260" s="63" t="s">
        <v>2381</v>
      </c>
      <c r="E260" s="21">
        <v>37</v>
      </c>
      <c r="F260" s="46" t="s">
        <v>2382</v>
      </c>
      <c r="G260" s="27"/>
      <c r="H260" s="47"/>
      <c r="I260" s="47"/>
      <c r="J260" s="229"/>
      <c r="K260" s="28"/>
      <c r="L260" s="28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</row>
    <row r="261" spans="1:27" ht="37.5">
      <c r="A261" s="121"/>
      <c r="B261" s="20" t="str">
        <f t="shared" si="4"/>
        <v>3413</v>
      </c>
      <c r="C261" s="21"/>
      <c r="D261" s="63" t="s">
        <v>2383</v>
      </c>
      <c r="E261" s="21">
        <v>37</v>
      </c>
      <c r="F261" s="46" t="s">
        <v>2384</v>
      </c>
      <c r="G261" s="27"/>
      <c r="H261" s="47"/>
      <c r="I261" s="47"/>
      <c r="J261" s="229"/>
      <c r="K261" s="28"/>
      <c r="L261" s="28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</row>
    <row r="262" spans="1:27" ht="18.75">
      <c r="A262" s="121"/>
      <c r="B262" s="20" t="str">
        <f t="shared" si="4"/>
        <v>3432</v>
      </c>
      <c r="C262" s="21"/>
      <c r="D262" s="63" t="s">
        <v>2385</v>
      </c>
      <c r="E262" s="21">
        <v>37</v>
      </c>
      <c r="F262" s="46" t="s">
        <v>2386</v>
      </c>
      <c r="G262" s="27"/>
      <c r="H262" s="47"/>
      <c r="I262" s="47"/>
      <c r="J262" s="229"/>
      <c r="K262" s="28"/>
      <c r="L262" s="28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</row>
    <row r="263" spans="1:27" ht="18.75">
      <c r="A263" s="121"/>
      <c r="B263" s="20" t="str">
        <f t="shared" si="4"/>
        <v>3439</v>
      </c>
      <c r="C263" s="21"/>
      <c r="D263" s="63" t="s">
        <v>2387</v>
      </c>
      <c r="E263" s="21">
        <v>37</v>
      </c>
      <c r="F263" s="46" t="s">
        <v>1808</v>
      </c>
      <c r="G263" s="27"/>
      <c r="H263" s="47"/>
      <c r="I263" s="47"/>
      <c r="J263" s="229"/>
      <c r="K263" s="28"/>
      <c r="L263" s="28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</row>
    <row r="264" spans="1:27" ht="18.75">
      <c r="A264" s="121"/>
      <c r="B264" s="20" t="str">
        <f t="shared" si="4"/>
        <v>3439</v>
      </c>
      <c r="C264" s="21"/>
      <c r="D264" s="63" t="s">
        <v>2388</v>
      </c>
      <c r="E264" s="21">
        <v>37</v>
      </c>
      <c r="F264" s="46" t="s">
        <v>1812</v>
      </c>
      <c r="G264" s="27"/>
      <c r="H264" s="47"/>
      <c r="I264" s="47"/>
      <c r="J264" s="229"/>
      <c r="K264" s="28"/>
      <c r="L264" s="28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</row>
    <row r="265" spans="1:27" ht="18.75">
      <c r="A265" s="121"/>
      <c r="B265" s="20" t="str">
        <f t="shared" si="4"/>
        <v>3442</v>
      </c>
      <c r="C265" s="21"/>
      <c r="D265" s="63" t="s">
        <v>2390</v>
      </c>
      <c r="E265" s="21">
        <v>37</v>
      </c>
      <c r="F265" s="46" t="s">
        <v>2391</v>
      </c>
      <c r="G265" s="27"/>
      <c r="H265" s="47"/>
      <c r="I265" s="47"/>
      <c r="J265" s="229"/>
      <c r="K265" s="28"/>
      <c r="L265" s="28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</row>
    <row r="266" spans="1:27" ht="18.75">
      <c r="A266" s="121"/>
      <c r="B266" s="20" t="str">
        <f t="shared" si="4"/>
        <v>3750</v>
      </c>
      <c r="C266" s="21"/>
      <c r="D266" s="63" t="s">
        <v>2396</v>
      </c>
      <c r="E266" s="21">
        <v>37</v>
      </c>
      <c r="F266" s="46" t="s">
        <v>167</v>
      </c>
      <c r="G266" s="27"/>
      <c r="H266" s="47"/>
      <c r="I266" s="47"/>
      <c r="J266" s="229"/>
      <c r="K266" s="28"/>
      <c r="L266" s="28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</row>
    <row r="267" spans="1:27" ht="18.75">
      <c r="A267" s="121"/>
      <c r="B267" s="20" t="str">
        <f t="shared" si="4"/>
        <v>3750</v>
      </c>
      <c r="C267" s="21"/>
      <c r="D267" s="63" t="s">
        <v>2401</v>
      </c>
      <c r="E267" s="21">
        <v>37</v>
      </c>
      <c r="F267" s="46" t="s">
        <v>2402</v>
      </c>
      <c r="G267" s="27"/>
      <c r="H267" s="47"/>
      <c r="I267" s="47"/>
      <c r="J267" s="229"/>
      <c r="K267" s="28"/>
      <c r="L267" s="28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</row>
    <row r="268" spans="1:27" ht="18.75">
      <c r="A268" s="121"/>
      <c r="B268" s="20" t="str">
        <f t="shared" si="4"/>
        <v>3750</v>
      </c>
      <c r="C268" s="21"/>
      <c r="D268" s="63" t="s">
        <v>2396</v>
      </c>
      <c r="E268" s="21">
        <v>37</v>
      </c>
      <c r="F268" s="46" t="s">
        <v>2402</v>
      </c>
      <c r="G268" s="27"/>
      <c r="H268" s="47"/>
      <c r="I268" s="47"/>
      <c r="J268" s="229"/>
      <c r="K268" s="28"/>
      <c r="L268" s="28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</row>
    <row r="269" spans="1:27" ht="18.75">
      <c r="A269" s="121"/>
      <c r="B269" s="20" t="str">
        <f t="shared" si="4"/>
        <v>3805</v>
      </c>
      <c r="C269" s="21"/>
      <c r="D269" s="63" t="s">
        <v>2406</v>
      </c>
      <c r="E269" s="21">
        <v>37</v>
      </c>
      <c r="F269" s="46" t="s">
        <v>2408</v>
      </c>
      <c r="G269" s="27"/>
      <c r="H269" s="47"/>
      <c r="I269" s="47"/>
      <c r="J269" s="229"/>
      <c r="K269" s="28"/>
      <c r="L269" s="28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</row>
    <row r="270" spans="1:27" ht="18.75">
      <c r="A270" s="121"/>
      <c r="B270" s="20" t="str">
        <f t="shared" si="4"/>
        <v>3895</v>
      </c>
      <c r="C270" s="21"/>
      <c r="D270" s="63" t="s">
        <v>2410</v>
      </c>
      <c r="E270" s="21">
        <v>37</v>
      </c>
      <c r="F270" s="46" t="s">
        <v>2412</v>
      </c>
      <c r="G270" s="27"/>
      <c r="H270" s="47"/>
      <c r="I270" s="47"/>
      <c r="J270" s="229"/>
      <c r="K270" s="28"/>
      <c r="L270" s="28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</row>
    <row r="271" spans="1:27" ht="18.75">
      <c r="A271" s="121"/>
      <c r="B271" s="20" t="str">
        <f t="shared" si="4"/>
        <v>3930</v>
      </c>
      <c r="C271" s="21"/>
      <c r="D271" s="63" t="s">
        <v>2416</v>
      </c>
      <c r="E271" s="21">
        <v>37</v>
      </c>
      <c r="F271" s="46" t="s">
        <v>2417</v>
      </c>
      <c r="G271" s="27"/>
      <c r="H271" s="47"/>
      <c r="I271" s="47"/>
      <c r="J271" s="229"/>
      <c r="K271" s="28"/>
      <c r="L271" s="28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</row>
    <row r="272" spans="1:27" ht="18.75">
      <c r="A272" s="121"/>
      <c r="B272" s="20" t="str">
        <f t="shared" si="4"/>
        <v>3960</v>
      </c>
      <c r="C272" s="21"/>
      <c r="D272" s="63" t="s">
        <v>2420</v>
      </c>
      <c r="E272" s="21">
        <v>37</v>
      </c>
      <c r="F272" s="46" t="s">
        <v>2421</v>
      </c>
      <c r="G272" s="27"/>
      <c r="H272" s="47"/>
      <c r="I272" s="47"/>
      <c r="J272" s="229"/>
      <c r="K272" s="28"/>
      <c r="L272" s="28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</row>
    <row r="273" spans="1:27" ht="18.75">
      <c r="A273" s="121"/>
      <c r="B273" s="20" t="str">
        <f t="shared" si="4"/>
        <v>4210</v>
      </c>
      <c r="C273" s="21"/>
      <c r="D273" s="63" t="s">
        <v>2423</v>
      </c>
      <c r="E273" s="21">
        <v>37</v>
      </c>
      <c r="F273" s="46" t="s">
        <v>2424</v>
      </c>
      <c r="G273" s="27"/>
      <c r="H273" s="47"/>
      <c r="I273" s="47"/>
      <c r="J273" s="229"/>
      <c r="K273" s="28"/>
      <c r="L273" s="28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</row>
    <row r="274" spans="1:27" ht="18.75">
      <c r="A274" s="121"/>
      <c r="B274" s="20" t="str">
        <f t="shared" si="4"/>
        <v>4310</v>
      </c>
      <c r="C274" s="21"/>
      <c r="D274" s="63" t="s">
        <v>2429</v>
      </c>
      <c r="E274" s="21">
        <v>37</v>
      </c>
      <c r="F274" s="46" t="s">
        <v>2430</v>
      </c>
      <c r="G274" s="27"/>
      <c r="H274" s="47"/>
      <c r="I274" s="47"/>
      <c r="J274" s="229"/>
      <c r="K274" s="28"/>
      <c r="L274" s="28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</row>
    <row r="275" spans="1:27" ht="18.75">
      <c r="A275" s="121"/>
      <c r="B275" s="20" t="str">
        <f t="shared" si="4"/>
        <v>4320</v>
      </c>
      <c r="C275" s="21"/>
      <c r="D275" s="63" t="s">
        <v>2432</v>
      </c>
      <c r="E275" s="21">
        <v>37</v>
      </c>
      <c r="F275" s="46" t="s">
        <v>2433</v>
      </c>
      <c r="G275" s="27"/>
      <c r="H275" s="47"/>
      <c r="I275" s="47"/>
      <c r="J275" s="229"/>
      <c r="K275" s="28"/>
      <c r="L275" s="28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</row>
    <row r="276" spans="1:27" ht="18.75">
      <c r="A276" s="121"/>
      <c r="B276" s="20" t="str">
        <f t="shared" si="4"/>
        <v>4320</v>
      </c>
      <c r="C276" s="21"/>
      <c r="D276" s="63" t="s">
        <v>2434</v>
      </c>
      <c r="E276" s="21">
        <v>37</v>
      </c>
      <c r="F276" s="46" t="s">
        <v>2435</v>
      </c>
      <c r="G276" s="27"/>
      <c r="H276" s="47"/>
      <c r="I276" s="47"/>
      <c r="J276" s="229"/>
      <c r="K276" s="28"/>
      <c r="L276" s="28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</row>
    <row r="277" spans="1:27" ht="37.5">
      <c r="A277" s="121"/>
      <c r="B277" s="20" t="str">
        <f t="shared" si="4"/>
        <v>4320</v>
      </c>
      <c r="C277" s="21"/>
      <c r="D277" s="63" t="s">
        <v>2437</v>
      </c>
      <c r="E277" s="21">
        <v>37</v>
      </c>
      <c r="F277" s="46" t="s">
        <v>2438</v>
      </c>
      <c r="G277" s="27"/>
      <c r="H277" s="47"/>
      <c r="I277" s="47"/>
      <c r="J277" s="229"/>
      <c r="K277" s="28"/>
      <c r="L277" s="28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</row>
    <row r="278" spans="1:27" ht="37.5">
      <c r="A278" s="121"/>
      <c r="B278" s="20" t="str">
        <f t="shared" si="4"/>
        <v>4320</v>
      </c>
      <c r="C278" s="21"/>
      <c r="D278" s="63" t="s">
        <v>2440</v>
      </c>
      <c r="E278" s="21">
        <v>37</v>
      </c>
      <c r="F278" s="46" t="s">
        <v>2441</v>
      </c>
      <c r="G278" s="27"/>
      <c r="H278" s="47"/>
      <c r="I278" s="47"/>
      <c r="J278" s="229"/>
      <c r="K278" s="28"/>
      <c r="L278" s="28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</row>
    <row r="279" spans="1:27" ht="37.5">
      <c r="A279" s="121"/>
      <c r="B279" s="20" t="str">
        <f t="shared" si="4"/>
        <v>4320</v>
      </c>
      <c r="C279" s="21"/>
      <c r="D279" s="63" t="s">
        <v>2443</v>
      </c>
      <c r="E279" s="21">
        <v>37</v>
      </c>
      <c r="F279" s="46" t="s">
        <v>2444</v>
      </c>
      <c r="G279" s="27"/>
      <c r="H279" s="47"/>
      <c r="I279" s="47"/>
      <c r="J279" s="229"/>
      <c r="K279" s="28"/>
      <c r="L279" s="28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</row>
    <row r="280" spans="1:27" ht="18.75">
      <c r="A280" s="121"/>
      <c r="B280" s="20" t="str">
        <f t="shared" si="4"/>
        <v>4320</v>
      </c>
      <c r="C280" s="21"/>
      <c r="D280" s="63" t="s">
        <v>2445</v>
      </c>
      <c r="E280" s="21">
        <v>37</v>
      </c>
      <c r="F280" s="46" t="s">
        <v>2446</v>
      </c>
      <c r="G280" s="27"/>
      <c r="H280" s="47"/>
      <c r="I280" s="47"/>
      <c r="J280" s="229"/>
      <c r="K280" s="28"/>
      <c r="L280" s="28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</row>
    <row r="281" spans="1:27" ht="18.75">
      <c r="A281" s="121"/>
      <c r="B281" s="20" t="str">
        <f t="shared" si="4"/>
        <v>4320</v>
      </c>
      <c r="C281" s="21"/>
      <c r="D281" s="63" t="s">
        <v>2447</v>
      </c>
      <c r="E281" s="21">
        <v>37</v>
      </c>
      <c r="F281" s="46" t="s">
        <v>2448</v>
      </c>
      <c r="G281" s="27"/>
      <c r="H281" s="47"/>
      <c r="I281" s="47"/>
      <c r="J281" s="229"/>
      <c r="K281" s="28"/>
      <c r="L281" s="28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</row>
    <row r="282" spans="1:27" ht="18.75">
      <c r="A282" s="121"/>
      <c r="B282" s="20" t="str">
        <f t="shared" si="4"/>
        <v>4320</v>
      </c>
      <c r="C282" s="21"/>
      <c r="D282" s="63" t="s">
        <v>2449</v>
      </c>
      <c r="E282" s="21">
        <v>37</v>
      </c>
      <c r="F282" s="46" t="s">
        <v>776</v>
      </c>
      <c r="G282" s="27"/>
      <c r="H282" s="47"/>
      <c r="I282" s="47"/>
      <c r="J282" s="229"/>
      <c r="K282" s="28"/>
      <c r="L282" s="28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</row>
    <row r="283" spans="1:27" ht="18.75">
      <c r="A283" s="121"/>
      <c r="B283" s="20" t="str">
        <f t="shared" si="4"/>
        <v>4520</v>
      </c>
      <c r="C283" s="21"/>
      <c r="D283" s="63" t="s">
        <v>2450</v>
      </c>
      <c r="E283" s="21">
        <v>37</v>
      </c>
      <c r="F283" s="46" t="s">
        <v>2451</v>
      </c>
      <c r="G283" s="27"/>
      <c r="H283" s="47"/>
      <c r="I283" s="47"/>
      <c r="J283" s="229"/>
      <c r="K283" s="28"/>
      <c r="L283" s="28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</row>
    <row r="284" spans="1:27" ht="18.75">
      <c r="A284" s="121"/>
      <c r="B284" s="20" t="str">
        <f t="shared" si="4"/>
        <v>4520</v>
      </c>
      <c r="C284" s="21"/>
      <c r="D284" s="63" t="s">
        <v>2453</v>
      </c>
      <c r="E284" s="21">
        <v>37</v>
      </c>
      <c r="F284" s="46" t="s">
        <v>2454</v>
      </c>
      <c r="G284" s="27"/>
      <c r="H284" s="47"/>
      <c r="I284" s="47"/>
      <c r="J284" s="229"/>
      <c r="K284" s="28"/>
      <c r="L284" s="28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</row>
    <row r="285" spans="1:27" ht="18.75">
      <c r="A285" s="121"/>
      <c r="B285" s="20" t="str">
        <f t="shared" si="4"/>
        <v>4630</v>
      </c>
      <c r="C285" s="21"/>
      <c r="D285" s="63" t="s">
        <v>2455</v>
      </c>
      <c r="E285" s="21">
        <v>37</v>
      </c>
      <c r="F285" s="46" t="s">
        <v>2456</v>
      </c>
      <c r="G285" s="27"/>
      <c r="H285" s="47"/>
      <c r="I285" s="47"/>
      <c r="J285" s="229"/>
      <c r="K285" s="28"/>
      <c r="L285" s="28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</row>
    <row r="286" spans="1:27" ht="18.75">
      <c r="A286" s="121"/>
      <c r="B286" s="20" t="str">
        <f t="shared" si="4"/>
        <v>4910</v>
      </c>
      <c r="C286" s="21"/>
      <c r="D286" s="63" t="s">
        <v>2457</v>
      </c>
      <c r="E286" s="21">
        <v>37</v>
      </c>
      <c r="F286" s="46" t="s">
        <v>2458</v>
      </c>
      <c r="G286" s="27"/>
      <c r="H286" s="47"/>
      <c r="I286" s="47"/>
      <c r="J286" s="229"/>
      <c r="K286" s="28"/>
      <c r="L286" s="28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</row>
    <row r="287" spans="1:27" ht="18.75">
      <c r="A287" s="121"/>
      <c r="B287" s="20" t="str">
        <f t="shared" si="4"/>
        <v>4910</v>
      </c>
      <c r="C287" s="21"/>
      <c r="D287" s="63" t="s">
        <v>2461</v>
      </c>
      <c r="E287" s="21">
        <v>37</v>
      </c>
      <c r="F287" s="46" t="s">
        <v>2463</v>
      </c>
      <c r="G287" s="27"/>
      <c r="H287" s="47"/>
      <c r="I287" s="47"/>
      <c r="J287" s="229"/>
      <c r="K287" s="28"/>
      <c r="L287" s="28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</row>
    <row r="288" spans="1:27" ht="18.75">
      <c r="A288" s="121"/>
      <c r="B288" s="20" t="str">
        <f t="shared" si="4"/>
        <v>5120</v>
      </c>
      <c r="C288" s="21"/>
      <c r="D288" s="63" t="s">
        <v>2468</v>
      </c>
      <c r="E288" s="21">
        <v>37</v>
      </c>
      <c r="F288" s="46" t="s">
        <v>2469</v>
      </c>
      <c r="G288" s="27"/>
      <c r="H288" s="47"/>
      <c r="I288" s="47"/>
      <c r="J288" s="229"/>
      <c r="K288" s="28"/>
      <c r="L288" s="28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</row>
    <row r="289" spans="1:27" ht="18.75">
      <c r="A289" s="121"/>
      <c r="B289" s="20" t="str">
        <f t="shared" si="4"/>
        <v>5120</v>
      </c>
      <c r="C289" s="21"/>
      <c r="D289" s="63" t="s">
        <v>2471</v>
      </c>
      <c r="E289" s="21">
        <v>37</v>
      </c>
      <c r="F289" s="46" t="s">
        <v>2472</v>
      </c>
      <c r="G289" s="27"/>
      <c r="H289" s="47"/>
      <c r="I289" s="47"/>
      <c r="J289" s="229"/>
      <c r="K289" s="28"/>
      <c r="L289" s="28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</row>
    <row r="290" spans="1:27" ht="18.75">
      <c r="A290" s="121"/>
      <c r="B290" s="20" t="str">
        <f t="shared" si="4"/>
        <v>5120</v>
      </c>
      <c r="C290" s="21"/>
      <c r="D290" s="63" t="s">
        <v>2473</v>
      </c>
      <c r="E290" s="21">
        <v>37</v>
      </c>
      <c r="F290" s="46" t="s">
        <v>2474</v>
      </c>
      <c r="G290" s="27"/>
      <c r="H290" s="47"/>
      <c r="I290" s="47"/>
      <c r="J290" s="229"/>
      <c r="K290" s="28"/>
      <c r="L290" s="28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</row>
    <row r="291" spans="1:27" ht="18.75">
      <c r="A291" s="121"/>
      <c r="B291" s="20" t="str">
        <f t="shared" si="4"/>
        <v>5120</v>
      </c>
      <c r="C291" s="21"/>
      <c r="D291" s="63" t="s">
        <v>2476</v>
      </c>
      <c r="E291" s="21">
        <v>37</v>
      </c>
      <c r="F291" s="46" t="s">
        <v>2477</v>
      </c>
      <c r="G291" s="27"/>
      <c r="H291" s="47"/>
      <c r="I291" s="47"/>
      <c r="J291" s="229"/>
      <c r="K291" s="28"/>
      <c r="L291" s="28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</row>
    <row r="292" spans="1:27" ht="18.75">
      <c r="A292" s="121"/>
      <c r="B292" s="20" t="str">
        <f t="shared" si="4"/>
        <v>5130</v>
      </c>
      <c r="C292" s="21"/>
      <c r="D292" s="63" t="s">
        <v>2480</v>
      </c>
      <c r="E292" s="21">
        <v>37</v>
      </c>
      <c r="F292" s="46" t="s">
        <v>2481</v>
      </c>
      <c r="G292" s="27"/>
      <c r="H292" s="47"/>
      <c r="I292" s="47"/>
      <c r="J292" s="229"/>
      <c r="K292" s="28"/>
      <c r="L292" s="28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</row>
    <row r="293" spans="1:27" ht="18.75">
      <c r="A293" s="121"/>
      <c r="B293" s="20" t="str">
        <f t="shared" si="4"/>
        <v>5130</v>
      </c>
      <c r="C293" s="21"/>
      <c r="D293" s="63" t="s">
        <v>2483</v>
      </c>
      <c r="E293" s="21">
        <v>37</v>
      </c>
      <c r="F293" s="46" t="s">
        <v>2484</v>
      </c>
      <c r="G293" s="27"/>
      <c r="H293" s="47"/>
      <c r="I293" s="47"/>
      <c r="J293" s="229"/>
      <c r="K293" s="28"/>
      <c r="L293" s="28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</row>
    <row r="294" spans="1:27" ht="18.75">
      <c r="A294" s="121"/>
      <c r="B294" s="20" t="str">
        <f t="shared" si="4"/>
        <v>5130</v>
      </c>
      <c r="C294" s="21"/>
      <c r="D294" s="63" t="s">
        <v>2486</v>
      </c>
      <c r="E294" s="21">
        <v>37</v>
      </c>
      <c r="F294" s="46" t="s">
        <v>2488</v>
      </c>
      <c r="G294" s="27"/>
      <c r="H294" s="47">
        <v>6500</v>
      </c>
      <c r="I294" s="47"/>
      <c r="J294" s="229"/>
      <c r="K294" s="28"/>
      <c r="L294" s="28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</row>
    <row r="295" spans="1:27" ht="18.75">
      <c r="A295" s="121"/>
      <c r="B295" s="20" t="str">
        <f t="shared" si="4"/>
        <v>5130</v>
      </c>
      <c r="C295" s="21"/>
      <c r="D295" s="63" t="s">
        <v>2490</v>
      </c>
      <c r="E295" s="21">
        <v>37</v>
      </c>
      <c r="F295" s="46" t="s">
        <v>1167</v>
      </c>
      <c r="G295" s="27"/>
      <c r="H295" s="47"/>
      <c r="I295" s="47"/>
      <c r="J295" s="229"/>
      <c r="K295" s="28"/>
      <c r="L295" s="28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</row>
    <row r="296" spans="1:27" ht="18.75">
      <c r="A296" s="121"/>
      <c r="B296" s="20" t="str">
        <f t="shared" si="4"/>
        <v>5130</v>
      </c>
      <c r="C296" s="21"/>
      <c r="D296" s="63" t="s">
        <v>2493</v>
      </c>
      <c r="E296" s="21">
        <v>37</v>
      </c>
      <c r="F296" s="46" t="s">
        <v>2494</v>
      </c>
      <c r="G296" s="27"/>
      <c r="H296" s="47"/>
      <c r="I296" s="47"/>
      <c r="J296" s="229"/>
      <c r="K296" s="28"/>
      <c r="L296" s="28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</row>
    <row r="297" spans="1:27" ht="18.75">
      <c r="A297" s="121"/>
      <c r="B297" s="20" t="str">
        <f t="shared" si="4"/>
        <v>5130</v>
      </c>
      <c r="C297" s="21"/>
      <c r="D297" s="63" t="s">
        <v>2495</v>
      </c>
      <c r="E297" s="21">
        <v>37</v>
      </c>
      <c r="F297" s="46" t="s">
        <v>2496</v>
      </c>
      <c r="G297" s="27"/>
      <c r="H297" s="47"/>
      <c r="I297" s="47"/>
      <c r="J297" s="229"/>
      <c r="K297" s="28"/>
      <c r="L297" s="28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</row>
    <row r="298" spans="1:27" ht="18.75">
      <c r="A298" s="121"/>
      <c r="B298" s="20" t="str">
        <f t="shared" si="4"/>
        <v>5130</v>
      </c>
      <c r="C298" s="21"/>
      <c r="D298" s="63" t="s">
        <v>2497</v>
      </c>
      <c r="E298" s="21">
        <v>37</v>
      </c>
      <c r="F298" s="46" t="s">
        <v>2498</v>
      </c>
      <c r="G298" s="27"/>
      <c r="H298" s="47"/>
      <c r="I298" s="47"/>
      <c r="J298" s="229"/>
      <c r="K298" s="28"/>
      <c r="L298" s="28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</row>
    <row r="299" spans="1:27" ht="18.75">
      <c r="A299" s="121"/>
      <c r="B299" s="20" t="str">
        <f t="shared" si="4"/>
        <v>5136</v>
      </c>
      <c r="C299" s="21"/>
      <c r="D299" s="63" t="s">
        <v>2499</v>
      </c>
      <c r="E299" s="21">
        <v>37</v>
      </c>
      <c r="F299" s="46" t="s">
        <v>2500</v>
      </c>
      <c r="G299" s="27"/>
      <c r="H299" s="47"/>
      <c r="I299" s="47"/>
      <c r="J299" s="229"/>
      <c r="K299" s="28"/>
      <c r="L299" s="28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</row>
    <row r="300" spans="1:27" ht="18.75">
      <c r="A300" s="121"/>
      <c r="B300" s="20" t="str">
        <f t="shared" si="4"/>
        <v>5160</v>
      </c>
      <c r="C300" s="21"/>
      <c r="D300" s="63" t="s">
        <v>2501</v>
      </c>
      <c r="E300" s="21">
        <v>37</v>
      </c>
      <c r="F300" s="46" t="s">
        <v>2469</v>
      </c>
      <c r="G300" s="27"/>
      <c r="H300" s="47"/>
      <c r="I300" s="47"/>
      <c r="J300" s="229"/>
      <c r="K300" s="28"/>
      <c r="L300" s="28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</row>
    <row r="301" spans="1:27" ht="18.75">
      <c r="A301" s="121"/>
      <c r="B301" s="20" t="str">
        <f t="shared" si="4"/>
        <v>5440</v>
      </c>
      <c r="C301" s="21"/>
      <c r="D301" s="63" t="s">
        <v>2502</v>
      </c>
      <c r="E301" s="21">
        <v>37</v>
      </c>
      <c r="F301" s="46" t="s">
        <v>2503</v>
      </c>
      <c r="G301" s="27"/>
      <c r="H301" s="47"/>
      <c r="I301" s="47"/>
      <c r="J301" s="229"/>
      <c r="K301" s="28"/>
      <c r="L301" s="28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</row>
    <row r="302" spans="1:27" ht="18.75">
      <c r="A302" s="121"/>
      <c r="B302" s="20" t="str">
        <f t="shared" si="4"/>
        <v>5610</v>
      </c>
      <c r="C302" s="21"/>
      <c r="D302" s="63" t="s">
        <v>2504</v>
      </c>
      <c r="E302" s="21">
        <v>37</v>
      </c>
      <c r="F302" s="46" t="s">
        <v>2505</v>
      </c>
      <c r="G302" s="27"/>
      <c r="H302" s="47"/>
      <c r="I302" s="47"/>
      <c r="J302" s="229"/>
      <c r="K302" s="28"/>
      <c r="L302" s="28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</row>
    <row r="303" spans="1:27" ht="37.5">
      <c r="A303" s="121"/>
      <c r="B303" s="20" t="str">
        <f t="shared" si="4"/>
        <v>6110</v>
      </c>
      <c r="C303" s="21"/>
      <c r="D303" s="63" t="s">
        <v>2506</v>
      </c>
      <c r="E303" s="21">
        <v>37</v>
      </c>
      <c r="F303" s="46" t="s">
        <v>2507</v>
      </c>
      <c r="G303" s="27"/>
      <c r="H303" s="47"/>
      <c r="I303" s="47"/>
      <c r="J303" s="229"/>
      <c r="K303" s="28"/>
      <c r="L303" s="28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</row>
    <row r="304" spans="1:27" ht="18.75">
      <c r="A304" s="121"/>
      <c r="B304" s="20" t="str">
        <f t="shared" si="4"/>
        <v>6110</v>
      </c>
      <c r="C304" s="21"/>
      <c r="D304" s="63" t="s">
        <v>2509</v>
      </c>
      <c r="E304" s="21">
        <v>37</v>
      </c>
      <c r="F304" s="46" t="s">
        <v>2510</v>
      </c>
      <c r="G304" s="27"/>
      <c r="H304" s="47"/>
      <c r="I304" s="47"/>
      <c r="J304" s="229"/>
      <c r="K304" s="28"/>
      <c r="L304" s="28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</row>
    <row r="305" spans="1:27" ht="18.75">
      <c r="A305" s="121"/>
      <c r="B305" s="20" t="str">
        <f t="shared" si="4"/>
        <v>6110</v>
      </c>
      <c r="C305" s="21"/>
      <c r="D305" s="63" t="s">
        <v>2511</v>
      </c>
      <c r="E305" s="21">
        <v>37</v>
      </c>
      <c r="F305" s="46" t="s">
        <v>2512</v>
      </c>
      <c r="G305" s="27"/>
      <c r="H305" s="47"/>
      <c r="I305" s="47"/>
      <c r="J305" s="229"/>
      <c r="K305" s="28"/>
      <c r="L305" s="28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</row>
    <row r="306" spans="1:27" ht="37.5">
      <c r="A306" s="121"/>
      <c r="B306" s="20" t="str">
        <f t="shared" si="4"/>
        <v>6110</v>
      </c>
      <c r="C306" s="21"/>
      <c r="D306" s="63" t="s">
        <v>2513</v>
      </c>
      <c r="E306" s="21">
        <v>37</v>
      </c>
      <c r="F306" s="46" t="s">
        <v>2514</v>
      </c>
      <c r="G306" s="27"/>
      <c r="H306" s="47"/>
      <c r="I306" s="47"/>
      <c r="J306" s="229"/>
      <c r="K306" s="28"/>
      <c r="L306" s="28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</row>
    <row r="307" spans="1:27" ht="37.5">
      <c r="A307" s="121"/>
      <c r="B307" s="20" t="str">
        <f t="shared" si="4"/>
        <v>6115</v>
      </c>
      <c r="C307" s="21"/>
      <c r="D307" s="63" t="s">
        <v>2515</v>
      </c>
      <c r="E307" s="21">
        <v>37</v>
      </c>
      <c r="F307" s="46" t="s">
        <v>2516</v>
      </c>
      <c r="G307" s="27"/>
      <c r="H307" s="47"/>
      <c r="I307" s="47"/>
      <c r="J307" s="229"/>
      <c r="K307" s="28"/>
      <c r="L307" s="28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</row>
    <row r="308" spans="1:27" ht="37.5">
      <c r="A308" s="121"/>
      <c r="B308" s="20" t="str">
        <f t="shared" si="4"/>
        <v>6115</v>
      </c>
      <c r="C308" s="21"/>
      <c r="D308" s="63" t="s">
        <v>2517</v>
      </c>
      <c r="E308" s="21">
        <v>37</v>
      </c>
      <c r="F308" s="46" t="s">
        <v>2518</v>
      </c>
      <c r="G308" s="27"/>
      <c r="H308" s="47"/>
      <c r="I308" s="47"/>
      <c r="J308" s="229"/>
      <c r="K308" s="28"/>
      <c r="L308" s="28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</row>
    <row r="309" spans="1:27" ht="37.5">
      <c r="A309" s="121"/>
      <c r="B309" s="20" t="str">
        <f t="shared" si="4"/>
        <v>6115</v>
      </c>
      <c r="C309" s="21"/>
      <c r="D309" s="63" t="s">
        <v>2519</v>
      </c>
      <c r="E309" s="21">
        <v>37</v>
      </c>
      <c r="F309" s="46" t="s">
        <v>2520</v>
      </c>
      <c r="G309" s="27"/>
      <c r="H309" s="47"/>
      <c r="I309" s="47"/>
      <c r="J309" s="229"/>
      <c r="K309" s="28"/>
      <c r="L309" s="28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</row>
    <row r="310" spans="1:27" ht="37.5">
      <c r="A310" s="121"/>
      <c r="B310" s="20" t="str">
        <f t="shared" si="4"/>
        <v>6115</v>
      </c>
      <c r="C310" s="21"/>
      <c r="D310" s="63" t="s">
        <v>2521</v>
      </c>
      <c r="E310" s="21">
        <v>37</v>
      </c>
      <c r="F310" s="46" t="s">
        <v>2522</v>
      </c>
      <c r="G310" s="27"/>
      <c r="H310" s="47"/>
      <c r="I310" s="47"/>
      <c r="J310" s="229"/>
      <c r="K310" s="28"/>
      <c r="L310" s="28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</row>
    <row r="311" spans="1:27" ht="37.5">
      <c r="A311" s="121"/>
      <c r="B311" s="20" t="str">
        <f t="shared" si="4"/>
        <v>6115</v>
      </c>
      <c r="C311" s="21"/>
      <c r="D311" s="63" t="s">
        <v>2523</v>
      </c>
      <c r="E311" s="21">
        <v>37</v>
      </c>
      <c r="F311" s="46" t="s">
        <v>2524</v>
      </c>
      <c r="G311" s="27"/>
      <c r="H311" s="47"/>
      <c r="I311" s="47"/>
      <c r="J311" s="229"/>
      <c r="K311" s="28"/>
      <c r="L311" s="28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</row>
    <row r="312" spans="1:27" ht="37.5">
      <c r="A312" s="121"/>
      <c r="B312" s="20" t="str">
        <f t="shared" si="4"/>
        <v>6115</v>
      </c>
      <c r="C312" s="21"/>
      <c r="D312" s="63" t="s">
        <v>2525</v>
      </c>
      <c r="E312" s="21">
        <v>37</v>
      </c>
      <c r="F312" s="46" t="s">
        <v>2526</v>
      </c>
      <c r="G312" s="27"/>
      <c r="H312" s="47"/>
      <c r="I312" s="47"/>
      <c r="J312" s="229"/>
      <c r="K312" s="28"/>
      <c r="L312" s="28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</row>
    <row r="313" spans="1:27" ht="37.5">
      <c r="A313" s="121"/>
      <c r="B313" s="20" t="str">
        <f t="shared" si="4"/>
        <v>6115</v>
      </c>
      <c r="C313" s="21"/>
      <c r="D313" s="63" t="s">
        <v>2527</v>
      </c>
      <c r="E313" s="21">
        <v>37</v>
      </c>
      <c r="F313" s="46" t="s">
        <v>2528</v>
      </c>
      <c r="G313" s="27"/>
      <c r="H313" s="47"/>
      <c r="I313" s="47"/>
      <c r="J313" s="229"/>
      <c r="K313" s="28"/>
      <c r="L313" s="28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</row>
    <row r="314" spans="1:27" ht="37.5">
      <c r="A314" s="121"/>
      <c r="B314" s="20" t="str">
        <f t="shared" si="4"/>
        <v>6115</v>
      </c>
      <c r="C314" s="21"/>
      <c r="D314" s="63" t="s">
        <v>2529</v>
      </c>
      <c r="E314" s="21">
        <v>37</v>
      </c>
      <c r="F314" s="46" t="s">
        <v>2530</v>
      </c>
      <c r="G314" s="27"/>
      <c r="H314" s="47"/>
      <c r="I314" s="47"/>
      <c r="J314" s="229"/>
      <c r="K314" s="28"/>
      <c r="L314" s="28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</row>
    <row r="315" spans="1:27" ht="37.5">
      <c r="A315" s="121"/>
      <c r="B315" s="20" t="str">
        <f t="shared" si="4"/>
        <v>6115</v>
      </c>
      <c r="C315" s="21"/>
      <c r="D315" s="63" t="s">
        <v>2531</v>
      </c>
      <c r="E315" s="21">
        <v>37</v>
      </c>
      <c r="F315" s="46" t="s">
        <v>2532</v>
      </c>
      <c r="G315" s="27"/>
      <c r="H315" s="47"/>
      <c r="I315" s="47"/>
      <c r="J315" s="229"/>
      <c r="K315" s="28"/>
      <c r="L315" s="28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</row>
    <row r="316" spans="1:27" ht="37.5">
      <c r="A316" s="121"/>
      <c r="B316" s="20" t="str">
        <f t="shared" si="4"/>
        <v>6115</v>
      </c>
      <c r="C316" s="21"/>
      <c r="D316" s="63" t="s">
        <v>2533</v>
      </c>
      <c r="E316" s="21">
        <v>37</v>
      </c>
      <c r="F316" s="46" t="s">
        <v>2534</v>
      </c>
      <c r="G316" s="27"/>
      <c r="H316" s="47"/>
      <c r="I316" s="47"/>
      <c r="J316" s="229"/>
      <c r="K316" s="28"/>
      <c r="L316" s="28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</row>
    <row r="317" spans="1:27" ht="37.5">
      <c r="A317" s="121"/>
      <c r="B317" s="20" t="str">
        <f t="shared" si="4"/>
        <v>6115</v>
      </c>
      <c r="C317" s="21"/>
      <c r="D317" s="63" t="s">
        <v>2535</v>
      </c>
      <c r="E317" s="21">
        <v>37</v>
      </c>
      <c r="F317" s="46" t="s">
        <v>2536</v>
      </c>
      <c r="G317" s="27"/>
      <c r="H317" s="47"/>
      <c r="I317" s="47"/>
      <c r="J317" s="229"/>
      <c r="K317" s="28"/>
      <c r="L317" s="28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</row>
    <row r="318" spans="1:27" ht="37.5">
      <c r="A318" s="121"/>
      <c r="B318" s="20" t="str">
        <f t="shared" si="4"/>
        <v>6150</v>
      </c>
      <c r="C318" s="21"/>
      <c r="D318" s="63" t="s">
        <v>2537</v>
      </c>
      <c r="E318" s="21">
        <v>37</v>
      </c>
      <c r="F318" s="46" t="s">
        <v>2538</v>
      </c>
      <c r="G318" s="27"/>
      <c r="H318" s="47"/>
      <c r="I318" s="47"/>
      <c r="J318" s="229"/>
      <c r="K318" s="28"/>
      <c r="L318" s="28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</row>
    <row r="319" spans="1:27" ht="37.5">
      <c r="A319" s="121"/>
      <c r="B319" s="20" t="str">
        <f t="shared" si="4"/>
        <v>6150</v>
      </c>
      <c r="C319" s="21"/>
      <c r="D319" s="63" t="s">
        <v>2539</v>
      </c>
      <c r="E319" s="21">
        <v>37</v>
      </c>
      <c r="F319" s="46" t="s">
        <v>2540</v>
      </c>
      <c r="G319" s="27"/>
      <c r="H319" s="47"/>
      <c r="I319" s="47"/>
      <c r="J319" s="229"/>
      <c r="K319" s="28"/>
      <c r="L319" s="28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</row>
    <row r="320" spans="1:27" ht="18.75">
      <c r="A320" s="121"/>
      <c r="B320" s="20" t="str">
        <f t="shared" si="4"/>
        <v>6630</v>
      </c>
      <c r="C320" s="21"/>
      <c r="D320" s="63" t="s">
        <v>2541</v>
      </c>
      <c r="E320" s="21">
        <v>37</v>
      </c>
      <c r="F320" s="46" t="s">
        <v>2542</v>
      </c>
      <c r="G320" s="27"/>
      <c r="H320" s="47"/>
      <c r="I320" s="47"/>
      <c r="J320" s="229"/>
      <c r="K320" s="28"/>
      <c r="L320" s="28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</row>
    <row r="321" spans="1:27" ht="18.75">
      <c r="A321" s="121"/>
      <c r="B321" s="20" t="str">
        <f t="shared" si="4"/>
        <v>6630</v>
      </c>
      <c r="C321" s="21"/>
      <c r="D321" s="63" t="s">
        <v>2543</v>
      </c>
      <c r="E321" s="21">
        <v>37</v>
      </c>
      <c r="F321" s="46" t="s">
        <v>2544</v>
      </c>
      <c r="G321" s="27"/>
      <c r="H321" s="47"/>
      <c r="I321" s="47"/>
      <c r="J321" s="229"/>
      <c r="K321" s="28"/>
      <c r="L321" s="28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</row>
    <row r="322" spans="1:27" ht="18.75">
      <c r="A322" s="121"/>
      <c r="B322" s="20" t="str">
        <f t="shared" ref="B322:B385" si="5">LEFT(D322, SEARCH("",D322,4))</f>
        <v>6680</v>
      </c>
      <c r="C322" s="21"/>
      <c r="D322" s="63" t="s">
        <v>2545</v>
      </c>
      <c r="E322" s="21">
        <v>37</v>
      </c>
      <c r="F322" s="46" t="s">
        <v>2546</v>
      </c>
      <c r="G322" s="27"/>
      <c r="H322" s="47"/>
      <c r="I322" s="47"/>
      <c r="J322" s="229"/>
      <c r="K322" s="28"/>
      <c r="L322" s="28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</row>
    <row r="323" spans="1:27" ht="18.75">
      <c r="A323" s="121"/>
      <c r="B323" s="20" t="str">
        <f t="shared" si="5"/>
        <v>8110</v>
      </c>
      <c r="C323" s="21"/>
      <c r="D323" s="63" t="s">
        <v>2547</v>
      </c>
      <c r="E323" s="21">
        <v>37</v>
      </c>
      <c r="F323" s="46" t="s">
        <v>2548</v>
      </c>
      <c r="G323" s="27"/>
      <c r="H323" s="47"/>
      <c r="I323" s="47"/>
      <c r="J323" s="229"/>
      <c r="K323" s="28"/>
      <c r="L323" s="28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</row>
    <row r="324" spans="1:27" ht="18.75">
      <c r="A324" s="121"/>
      <c r="B324" s="20" t="str">
        <f t="shared" si="5"/>
        <v>2320</v>
      </c>
      <c r="C324" s="21"/>
      <c r="D324" s="63" t="s">
        <v>2549</v>
      </c>
      <c r="E324" s="21">
        <v>38</v>
      </c>
      <c r="F324" s="46" t="s">
        <v>2550</v>
      </c>
      <c r="G324" s="27"/>
      <c r="H324" s="47"/>
      <c r="I324" s="47"/>
      <c r="J324" s="229"/>
      <c r="K324" s="28"/>
      <c r="L324" s="28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</row>
    <row r="325" spans="1:27" ht="18.75">
      <c r="A325" s="121"/>
      <c r="B325" s="20" t="str">
        <f t="shared" si="5"/>
        <v>2640</v>
      </c>
      <c r="C325" s="21"/>
      <c r="D325" s="63" t="s">
        <v>2551</v>
      </c>
      <c r="E325" s="21">
        <v>38</v>
      </c>
      <c r="F325" s="46" t="s">
        <v>2552</v>
      </c>
      <c r="G325" s="27"/>
      <c r="H325" s="47"/>
      <c r="I325" s="47"/>
      <c r="J325" s="229"/>
      <c r="K325" s="28"/>
      <c r="L325" s="28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</row>
    <row r="326" spans="1:27" ht="18.75">
      <c r="A326" s="121"/>
      <c r="B326" s="20" t="str">
        <f t="shared" si="5"/>
        <v>3405</v>
      </c>
      <c r="C326" s="21"/>
      <c r="D326" s="63" t="s">
        <v>2553</v>
      </c>
      <c r="E326" s="21">
        <v>38</v>
      </c>
      <c r="F326" s="46" t="s">
        <v>2554</v>
      </c>
      <c r="G326" s="27"/>
      <c r="H326" s="47"/>
      <c r="I326" s="47"/>
      <c r="J326" s="229"/>
      <c r="K326" s="28"/>
      <c r="L326" s="28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</row>
    <row r="327" spans="1:27" ht="18.75">
      <c r="A327" s="121"/>
      <c r="B327" s="20" t="str">
        <f t="shared" si="5"/>
        <v>3411</v>
      </c>
      <c r="C327" s="21"/>
      <c r="D327" s="63" t="s">
        <v>2555</v>
      </c>
      <c r="E327" s="21">
        <v>38</v>
      </c>
      <c r="F327" s="46" t="s">
        <v>2556</v>
      </c>
      <c r="G327" s="27"/>
      <c r="H327" s="47"/>
      <c r="I327" s="47"/>
      <c r="J327" s="229"/>
      <c r="K327" s="28"/>
      <c r="L327" s="28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</row>
    <row r="328" spans="1:27" ht="37.5">
      <c r="A328" s="121"/>
      <c r="B328" s="20" t="str">
        <f t="shared" si="5"/>
        <v>3413</v>
      </c>
      <c r="C328" s="21"/>
      <c r="D328" s="63" t="s">
        <v>2557</v>
      </c>
      <c r="E328" s="21">
        <v>38</v>
      </c>
      <c r="F328" s="46" t="s">
        <v>2558</v>
      </c>
      <c r="G328" s="27"/>
      <c r="H328" s="47"/>
      <c r="I328" s="47"/>
      <c r="J328" s="229"/>
      <c r="K328" s="28"/>
      <c r="L328" s="28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</row>
    <row r="329" spans="1:27" ht="18.75">
      <c r="A329" s="121"/>
      <c r="B329" s="20" t="str">
        <f t="shared" si="5"/>
        <v>3432</v>
      </c>
      <c r="C329" s="21"/>
      <c r="D329" s="63" t="s">
        <v>2559</v>
      </c>
      <c r="E329" s="21">
        <v>38</v>
      </c>
      <c r="F329" s="46" t="s">
        <v>2062</v>
      </c>
      <c r="G329" s="27"/>
      <c r="H329" s="47"/>
      <c r="I329" s="47"/>
      <c r="J329" s="229"/>
      <c r="K329" s="28"/>
      <c r="L329" s="28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</row>
    <row r="330" spans="1:27" ht="18.75">
      <c r="A330" s="121"/>
      <c r="B330" s="20" t="str">
        <f t="shared" si="5"/>
        <v>3432</v>
      </c>
      <c r="C330" s="21"/>
      <c r="D330" s="63" t="s">
        <v>2560</v>
      </c>
      <c r="E330" s="21">
        <v>38</v>
      </c>
      <c r="F330" s="46" t="s">
        <v>2561</v>
      </c>
      <c r="G330" s="27"/>
      <c r="H330" s="47"/>
      <c r="I330" s="47"/>
      <c r="J330" s="229"/>
      <c r="K330" s="28"/>
      <c r="L330" s="28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</row>
    <row r="331" spans="1:27" ht="18.75">
      <c r="A331" s="121"/>
      <c r="B331" s="20" t="str">
        <f t="shared" si="5"/>
        <v>3433</v>
      </c>
      <c r="C331" s="21"/>
      <c r="D331" s="63" t="s">
        <v>2562</v>
      </c>
      <c r="E331" s="21">
        <v>38</v>
      </c>
      <c r="F331" s="46" t="s">
        <v>2563</v>
      </c>
      <c r="G331" s="27"/>
      <c r="H331" s="47"/>
      <c r="I331" s="47"/>
      <c r="J331" s="229"/>
      <c r="K331" s="28"/>
      <c r="L331" s="28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</row>
    <row r="332" spans="1:27" ht="18.75">
      <c r="A332" s="121"/>
      <c r="B332" s="20" t="str">
        <f t="shared" si="5"/>
        <v>3442</v>
      </c>
      <c r="C332" s="21"/>
      <c r="D332" s="63" t="s">
        <v>2564</v>
      </c>
      <c r="E332" s="21">
        <v>38</v>
      </c>
      <c r="F332" s="46" t="s">
        <v>2565</v>
      </c>
      <c r="G332" s="27"/>
      <c r="H332" s="47"/>
      <c r="I332" s="47"/>
      <c r="J332" s="229"/>
      <c r="K332" s="28"/>
      <c r="L332" s="28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</row>
    <row r="333" spans="1:27" ht="18.75">
      <c r="A333" s="121"/>
      <c r="B333" s="20" t="str">
        <f t="shared" si="5"/>
        <v>3445</v>
      </c>
      <c r="C333" s="21"/>
      <c r="D333" s="63" t="s">
        <v>2566</v>
      </c>
      <c r="E333" s="21">
        <v>38</v>
      </c>
      <c r="F333" s="46" t="s">
        <v>2567</v>
      </c>
      <c r="G333" s="27"/>
      <c r="H333" s="47"/>
      <c r="I333" s="47"/>
      <c r="J333" s="229"/>
      <c r="K333" s="28"/>
      <c r="L333" s="28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</row>
    <row r="334" spans="1:27" ht="18.75">
      <c r="A334" s="121"/>
      <c r="B334" s="20" t="str">
        <f t="shared" si="5"/>
        <v>3470</v>
      </c>
      <c r="C334" s="21"/>
      <c r="D334" s="63" t="s">
        <v>2570</v>
      </c>
      <c r="E334" s="21">
        <v>38</v>
      </c>
      <c r="F334" s="46" t="s">
        <v>2571</v>
      </c>
      <c r="G334" s="27"/>
      <c r="H334" s="47"/>
      <c r="I334" s="47"/>
      <c r="J334" s="229"/>
      <c r="K334" s="28"/>
      <c r="L334" s="28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</row>
    <row r="335" spans="1:27" ht="18.75">
      <c r="A335" s="121"/>
      <c r="B335" s="20" t="str">
        <f t="shared" si="5"/>
        <v>3540</v>
      </c>
      <c r="C335" s="21"/>
      <c r="D335" s="63" t="s">
        <v>2574</v>
      </c>
      <c r="E335" s="21">
        <v>38</v>
      </c>
      <c r="F335" s="46" t="s">
        <v>2575</v>
      </c>
      <c r="G335" s="27"/>
      <c r="H335" s="47"/>
      <c r="I335" s="47"/>
      <c r="J335" s="229"/>
      <c r="K335" s="28"/>
      <c r="L335" s="28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</row>
    <row r="336" spans="1:27" ht="18.75">
      <c r="A336" s="121"/>
      <c r="B336" s="20" t="str">
        <f t="shared" si="5"/>
        <v>3740</v>
      </c>
      <c r="C336" s="21"/>
      <c r="D336" s="63" t="s">
        <v>2576</v>
      </c>
      <c r="E336" s="21">
        <v>38</v>
      </c>
      <c r="F336" s="46" t="s">
        <v>2577</v>
      </c>
      <c r="G336" s="27"/>
      <c r="H336" s="47"/>
      <c r="I336" s="47"/>
      <c r="J336" s="229"/>
      <c r="K336" s="28"/>
      <c r="L336" s="28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</row>
    <row r="337" spans="1:27" ht="18.75">
      <c r="A337" s="121"/>
      <c r="B337" s="20" t="str">
        <f t="shared" si="5"/>
        <v>3740</v>
      </c>
      <c r="C337" s="21"/>
      <c r="D337" s="63" t="s">
        <v>2576</v>
      </c>
      <c r="E337" s="21">
        <v>38</v>
      </c>
      <c r="F337" s="46" t="s">
        <v>2578</v>
      </c>
      <c r="G337" s="27"/>
      <c r="H337" s="47"/>
      <c r="I337" s="47"/>
      <c r="J337" s="229"/>
      <c r="K337" s="28"/>
      <c r="L337" s="28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</row>
    <row r="338" spans="1:27" ht="18.75">
      <c r="A338" s="121"/>
      <c r="B338" s="20" t="str">
        <f t="shared" si="5"/>
        <v>3740</v>
      </c>
      <c r="C338" s="21"/>
      <c r="D338" s="63" t="s">
        <v>2579</v>
      </c>
      <c r="E338" s="21">
        <v>38</v>
      </c>
      <c r="F338" s="46" t="s">
        <v>2580</v>
      </c>
      <c r="G338" s="27"/>
      <c r="H338" s="47"/>
      <c r="I338" s="47"/>
      <c r="J338" s="229"/>
      <c r="K338" s="28"/>
      <c r="L338" s="28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</row>
    <row r="339" spans="1:27" ht="18.75">
      <c r="A339" s="121"/>
      <c r="B339" s="20" t="str">
        <f t="shared" si="5"/>
        <v>3750</v>
      </c>
      <c r="C339" s="21"/>
      <c r="D339" s="63" t="s">
        <v>2581</v>
      </c>
      <c r="E339" s="21">
        <v>38</v>
      </c>
      <c r="F339" s="46" t="s">
        <v>156</v>
      </c>
      <c r="G339" s="27"/>
      <c r="H339" s="47"/>
      <c r="I339" s="47"/>
      <c r="J339" s="229"/>
      <c r="K339" s="28"/>
      <c r="L339" s="28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</row>
    <row r="340" spans="1:27" ht="18.75">
      <c r="A340" s="121"/>
      <c r="B340" s="20" t="str">
        <f t="shared" si="5"/>
        <v>3750</v>
      </c>
      <c r="C340" s="21"/>
      <c r="D340" s="63" t="s">
        <v>2581</v>
      </c>
      <c r="E340" s="21">
        <v>38</v>
      </c>
      <c r="F340" s="46" t="s">
        <v>156</v>
      </c>
      <c r="G340" s="27"/>
      <c r="H340" s="47"/>
      <c r="I340" s="47"/>
      <c r="J340" s="229"/>
      <c r="K340" s="28"/>
      <c r="L340" s="28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</row>
    <row r="341" spans="1:27" ht="18.75">
      <c r="A341" s="121"/>
      <c r="B341" s="20" t="str">
        <f t="shared" si="5"/>
        <v>3750</v>
      </c>
      <c r="C341" s="21"/>
      <c r="D341" s="63" t="s">
        <v>2582</v>
      </c>
      <c r="E341" s="21">
        <v>38</v>
      </c>
      <c r="F341" s="46" t="s">
        <v>161</v>
      </c>
      <c r="G341" s="27"/>
      <c r="H341" s="47"/>
      <c r="I341" s="47"/>
      <c r="J341" s="229"/>
      <c r="K341" s="28"/>
      <c r="L341" s="28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</row>
    <row r="342" spans="1:27" ht="18.75">
      <c r="A342" s="121"/>
      <c r="B342" s="20" t="str">
        <f t="shared" si="5"/>
        <v>3750</v>
      </c>
      <c r="C342" s="21"/>
      <c r="D342" s="63" t="s">
        <v>2582</v>
      </c>
      <c r="E342" s="21">
        <v>38</v>
      </c>
      <c r="F342" s="46" t="s">
        <v>2583</v>
      </c>
      <c r="G342" s="27"/>
      <c r="H342" s="47"/>
      <c r="I342" s="47"/>
      <c r="J342" s="229"/>
      <c r="K342" s="28"/>
      <c r="L342" s="28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</row>
    <row r="343" spans="1:27" ht="18.75">
      <c r="A343" s="121"/>
      <c r="B343" s="20" t="str">
        <f t="shared" si="5"/>
        <v>3750</v>
      </c>
      <c r="C343" s="21"/>
      <c r="D343" s="63" t="s">
        <v>2396</v>
      </c>
      <c r="E343" s="21">
        <v>38</v>
      </c>
      <c r="F343" s="46" t="s">
        <v>167</v>
      </c>
      <c r="G343" s="27"/>
      <c r="H343" s="47"/>
      <c r="I343" s="47"/>
      <c r="J343" s="229"/>
      <c r="K343" s="28"/>
      <c r="L343" s="28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</row>
    <row r="344" spans="1:27" ht="18.75">
      <c r="A344" s="121"/>
      <c r="B344" s="20" t="str">
        <f t="shared" si="5"/>
        <v>3750</v>
      </c>
      <c r="C344" s="21"/>
      <c r="D344" s="63" t="s">
        <v>2584</v>
      </c>
      <c r="E344" s="21">
        <v>38</v>
      </c>
      <c r="F344" s="46" t="s">
        <v>2585</v>
      </c>
      <c r="G344" s="27"/>
      <c r="H344" s="47"/>
      <c r="I344" s="47"/>
      <c r="J344" s="229"/>
      <c r="K344" s="28"/>
      <c r="L344" s="28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</row>
    <row r="345" spans="1:27" ht="18.75">
      <c r="A345" s="121"/>
      <c r="B345" s="20" t="str">
        <f t="shared" si="5"/>
        <v>3750</v>
      </c>
      <c r="C345" s="21"/>
      <c r="D345" s="63" t="s">
        <v>2586</v>
      </c>
      <c r="E345" s="21">
        <v>38</v>
      </c>
      <c r="F345" s="46" t="s">
        <v>2587</v>
      </c>
      <c r="G345" s="27"/>
      <c r="H345" s="47"/>
      <c r="I345" s="47"/>
      <c r="J345" s="229"/>
      <c r="K345" s="28"/>
      <c r="L345" s="28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</row>
    <row r="346" spans="1:27" ht="18.75">
      <c r="A346" s="121"/>
      <c r="B346" s="20" t="str">
        <f t="shared" si="5"/>
        <v>3750</v>
      </c>
      <c r="C346" s="21"/>
      <c r="D346" s="63" t="s">
        <v>2071</v>
      </c>
      <c r="E346" s="21">
        <v>38</v>
      </c>
      <c r="F346" s="46" t="s">
        <v>2077</v>
      </c>
      <c r="G346" s="27"/>
      <c r="H346" s="47"/>
      <c r="I346" s="47"/>
      <c r="J346" s="229"/>
      <c r="K346" s="28"/>
      <c r="L346" s="28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</row>
    <row r="347" spans="1:27" ht="18.75">
      <c r="A347" s="121"/>
      <c r="B347" s="20" t="str">
        <f t="shared" si="5"/>
        <v>3750</v>
      </c>
      <c r="C347" s="21"/>
      <c r="D347" s="63" t="s">
        <v>2588</v>
      </c>
      <c r="E347" s="21">
        <v>38</v>
      </c>
      <c r="F347" s="46" t="s">
        <v>2077</v>
      </c>
      <c r="G347" s="27"/>
      <c r="H347" s="47"/>
      <c r="I347" s="47"/>
      <c r="J347" s="229"/>
      <c r="K347" s="28"/>
      <c r="L347" s="28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</row>
    <row r="348" spans="1:27" ht="18.75">
      <c r="A348" s="121"/>
      <c r="B348" s="20" t="str">
        <f t="shared" si="5"/>
        <v>3805</v>
      </c>
      <c r="C348" s="21"/>
      <c r="D348" s="63" t="s">
        <v>2589</v>
      </c>
      <c r="E348" s="21">
        <v>38</v>
      </c>
      <c r="F348" s="46" t="s">
        <v>1679</v>
      </c>
      <c r="G348" s="27"/>
      <c r="H348" s="47"/>
      <c r="I348" s="47"/>
      <c r="J348" s="229"/>
      <c r="K348" s="28"/>
      <c r="L348" s="28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</row>
    <row r="349" spans="1:27" ht="18.75">
      <c r="A349" s="121"/>
      <c r="B349" s="20" t="str">
        <f t="shared" si="5"/>
        <v>3805</v>
      </c>
      <c r="C349" s="21"/>
      <c r="D349" s="63" t="s">
        <v>2590</v>
      </c>
      <c r="E349" s="21">
        <v>38</v>
      </c>
      <c r="F349" s="46" t="s">
        <v>2591</v>
      </c>
      <c r="G349" s="27"/>
      <c r="H349" s="47"/>
      <c r="I349" s="47"/>
      <c r="J349" s="229"/>
      <c r="K349" s="28"/>
      <c r="L349" s="28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</row>
    <row r="350" spans="1:27" ht="18.75">
      <c r="A350" s="121"/>
      <c r="B350" s="20" t="str">
        <f t="shared" si="5"/>
        <v>3805</v>
      </c>
      <c r="C350" s="21"/>
      <c r="D350" s="63" t="s">
        <v>2592</v>
      </c>
      <c r="E350" s="21">
        <v>38</v>
      </c>
      <c r="F350" s="46" t="s">
        <v>2593</v>
      </c>
      <c r="G350" s="27"/>
      <c r="H350" s="47"/>
      <c r="I350" s="47"/>
      <c r="J350" s="229"/>
      <c r="K350" s="28"/>
      <c r="L350" s="28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</row>
    <row r="351" spans="1:27" ht="18.75">
      <c r="A351" s="121"/>
      <c r="B351" s="20" t="str">
        <f t="shared" si="5"/>
        <v>3895</v>
      </c>
      <c r="C351" s="21"/>
      <c r="D351" s="63" t="s">
        <v>2594</v>
      </c>
      <c r="E351" s="21">
        <v>38</v>
      </c>
      <c r="F351" s="46" t="s">
        <v>2595</v>
      </c>
      <c r="G351" s="27"/>
      <c r="H351" s="47"/>
      <c r="I351" s="47"/>
      <c r="J351" s="229"/>
      <c r="K351" s="28"/>
      <c r="L351" s="28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</row>
    <row r="352" spans="1:27" ht="18.75">
      <c r="A352" s="121"/>
      <c r="B352" s="20" t="str">
        <f t="shared" si="5"/>
        <v>3920</v>
      </c>
      <c r="C352" s="21"/>
      <c r="D352" s="63" t="s">
        <v>2596</v>
      </c>
      <c r="E352" s="21">
        <v>38</v>
      </c>
      <c r="F352" s="46" t="s">
        <v>2597</v>
      </c>
      <c r="G352" s="27"/>
      <c r="H352" s="47"/>
      <c r="I352" s="47"/>
      <c r="J352" s="229"/>
      <c r="K352" s="28"/>
      <c r="L352" s="28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</row>
    <row r="353" spans="1:27" ht="18.75">
      <c r="A353" s="121"/>
      <c r="B353" s="20" t="str">
        <f t="shared" si="5"/>
        <v>3930</v>
      </c>
      <c r="C353" s="21"/>
      <c r="D353" s="63" t="s">
        <v>2598</v>
      </c>
      <c r="E353" s="21">
        <v>38</v>
      </c>
      <c r="F353" s="46" t="s">
        <v>2417</v>
      </c>
      <c r="G353" s="27"/>
      <c r="H353" s="47"/>
      <c r="I353" s="47"/>
      <c r="J353" s="229"/>
      <c r="K353" s="28"/>
      <c r="L353" s="28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</row>
    <row r="354" spans="1:27" ht="18.75">
      <c r="A354" s="121"/>
      <c r="B354" s="20" t="str">
        <f t="shared" si="5"/>
        <v>3930</v>
      </c>
      <c r="C354" s="21"/>
      <c r="D354" s="63" t="s">
        <v>2599</v>
      </c>
      <c r="E354" s="21">
        <v>38</v>
      </c>
      <c r="F354" s="46" t="s">
        <v>2600</v>
      </c>
      <c r="G354" s="27"/>
      <c r="H354" s="47"/>
      <c r="I354" s="47"/>
      <c r="J354" s="229"/>
      <c r="K354" s="28"/>
      <c r="L354" s="28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</row>
    <row r="355" spans="1:27" ht="18.75">
      <c r="A355" s="121"/>
      <c r="B355" s="20" t="str">
        <f t="shared" si="5"/>
        <v>3930</v>
      </c>
      <c r="C355" s="21"/>
      <c r="D355" s="63" t="s">
        <v>2601</v>
      </c>
      <c r="E355" s="21">
        <v>38</v>
      </c>
      <c r="F355" s="46" t="s">
        <v>2602</v>
      </c>
      <c r="G355" s="27"/>
      <c r="H355" s="47"/>
      <c r="I355" s="47"/>
      <c r="J355" s="229"/>
      <c r="K355" s="28"/>
      <c r="L355" s="28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</row>
    <row r="356" spans="1:27" ht="18.75">
      <c r="A356" s="121"/>
      <c r="B356" s="20" t="str">
        <f t="shared" si="5"/>
        <v>3940</v>
      </c>
      <c r="C356" s="21"/>
      <c r="D356" s="63" t="s">
        <v>2603</v>
      </c>
      <c r="E356" s="21">
        <v>38</v>
      </c>
      <c r="F356" s="46" t="s">
        <v>2604</v>
      </c>
      <c r="G356" s="27"/>
      <c r="H356" s="47"/>
      <c r="I356" s="47"/>
      <c r="J356" s="229"/>
      <c r="K356" s="28"/>
      <c r="L356" s="28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</row>
    <row r="357" spans="1:27" ht="18.75">
      <c r="A357" s="121"/>
      <c r="B357" s="20" t="str">
        <f t="shared" si="5"/>
        <v>3940</v>
      </c>
      <c r="C357" s="21"/>
      <c r="D357" s="63" t="s">
        <v>2605</v>
      </c>
      <c r="E357" s="21">
        <v>38</v>
      </c>
      <c r="F357" s="46" t="s">
        <v>2606</v>
      </c>
      <c r="G357" s="27"/>
      <c r="H357" s="47"/>
      <c r="I357" s="47"/>
      <c r="J357" s="229"/>
      <c r="K357" s="28"/>
      <c r="L357" s="28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</row>
    <row r="358" spans="1:27" ht="37.5">
      <c r="A358" s="121"/>
      <c r="B358" s="20" t="str">
        <f t="shared" si="5"/>
        <v>4120</v>
      </c>
      <c r="C358" s="21"/>
      <c r="D358" s="63" t="s">
        <v>2607</v>
      </c>
      <c r="E358" s="21">
        <v>38</v>
      </c>
      <c r="F358" s="46" t="s">
        <v>2608</v>
      </c>
      <c r="G358" s="27"/>
      <c r="H358" s="47"/>
      <c r="I358" s="47"/>
      <c r="J358" s="229"/>
      <c r="K358" s="28"/>
      <c r="L358" s="28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</row>
    <row r="359" spans="1:27" ht="37.5">
      <c r="A359" s="121"/>
      <c r="B359" s="20" t="str">
        <f t="shared" si="5"/>
        <v>4120</v>
      </c>
      <c r="C359" s="21"/>
      <c r="D359" s="63" t="s">
        <v>2609</v>
      </c>
      <c r="E359" s="21">
        <v>38</v>
      </c>
      <c r="F359" s="46" t="s">
        <v>2610</v>
      </c>
      <c r="G359" s="27"/>
      <c r="H359" s="47"/>
      <c r="I359" s="47"/>
      <c r="J359" s="229"/>
      <c r="K359" s="28"/>
      <c r="L359" s="28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</row>
    <row r="360" spans="1:27" ht="37.5">
      <c r="A360" s="121"/>
      <c r="B360" s="20" t="str">
        <f t="shared" si="5"/>
        <v>4120</v>
      </c>
      <c r="C360" s="21"/>
      <c r="D360" s="63" t="s">
        <v>2611</v>
      </c>
      <c r="E360" s="21">
        <v>38</v>
      </c>
      <c r="F360" s="46" t="s">
        <v>2612</v>
      </c>
      <c r="G360" s="27"/>
      <c r="H360" s="47"/>
      <c r="I360" s="47"/>
      <c r="J360" s="229"/>
      <c r="K360" s="28"/>
      <c r="L360" s="28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</row>
    <row r="361" spans="1:27" ht="37.5">
      <c r="A361" s="121"/>
      <c r="B361" s="20" t="str">
        <f t="shared" si="5"/>
        <v>4120</v>
      </c>
      <c r="C361" s="21"/>
      <c r="D361" s="63" t="s">
        <v>2613</v>
      </c>
      <c r="E361" s="21">
        <v>38</v>
      </c>
      <c r="F361" s="46" t="s">
        <v>2614</v>
      </c>
      <c r="G361" s="27"/>
      <c r="H361" s="47">
        <v>9500</v>
      </c>
      <c r="I361" s="47"/>
      <c r="J361" s="229"/>
      <c r="K361" s="28"/>
      <c r="L361" s="28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</row>
    <row r="362" spans="1:27" ht="37.5">
      <c r="A362" s="121"/>
      <c r="B362" s="20" t="str">
        <f t="shared" si="5"/>
        <v>4120</v>
      </c>
      <c r="C362" s="21"/>
      <c r="D362" s="63" t="s">
        <v>2615</v>
      </c>
      <c r="E362" s="21">
        <v>38</v>
      </c>
      <c r="F362" s="46" t="s">
        <v>2616</v>
      </c>
      <c r="G362" s="27"/>
      <c r="H362" s="47"/>
      <c r="I362" s="47"/>
      <c r="J362" s="229"/>
      <c r="K362" s="28"/>
      <c r="L362" s="28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</row>
    <row r="363" spans="1:27" ht="37.5">
      <c r="A363" s="121"/>
      <c r="B363" s="20" t="str">
        <f t="shared" si="5"/>
        <v>4120</v>
      </c>
      <c r="C363" s="21"/>
      <c r="D363" s="63" t="s">
        <v>2617</v>
      </c>
      <c r="E363" s="21">
        <v>38</v>
      </c>
      <c r="F363" s="46" t="s">
        <v>2618</v>
      </c>
      <c r="G363" s="27"/>
      <c r="H363" s="47"/>
      <c r="I363" s="47"/>
      <c r="J363" s="229"/>
      <c r="K363" s="28"/>
      <c r="L363" s="28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</row>
    <row r="364" spans="1:27" ht="37.5">
      <c r="A364" s="121"/>
      <c r="B364" s="20" t="str">
        <f t="shared" si="5"/>
        <v>4120</v>
      </c>
      <c r="C364" s="21"/>
      <c r="D364" s="63" t="s">
        <v>2619</v>
      </c>
      <c r="E364" s="21">
        <v>38</v>
      </c>
      <c r="F364" s="46" t="s">
        <v>2620</v>
      </c>
      <c r="G364" s="27"/>
      <c r="H364" s="47"/>
      <c r="I364" s="47"/>
      <c r="J364" s="229"/>
      <c r="K364" s="28"/>
      <c r="L364" s="28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</row>
    <row r="365" spans="1:27" ht="37.5">
      <c r="A365" s="121"/>
      <c r="B365" s="20" t="str">
        <f t="shared" si="5"/>
        <v>4120</v>
      </c>
      <c r="C365" s="21"/>
      <c r="D365" s="63" t="s">
        <v>2621</v>
      </c>
      <c r="E365" s="21">
        <v>38</v>
      </c>
      <c r="F365" s="46" t="s">
        <v>2622</v>
      </c>
      <c r="G365" s="27"/>
      <c r="H365" s="47"/>
      <c r="I365" s="47"/>
      <c r="J365" s="229"/>
      <c r="K365" s="28"/>
      <c r="L365" s="28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</row>
    <row r="366" spans="1:27" ht="37.5">
      <c r="A366" s="121"/>
      <c r="B366" s="20" t="str">
        <f t="shared" si="5"/>
        <v>4120</v>
      </c>
      <c r="C366" s="21"/>
      <c r="D366" s="63" t="s">
        <v>2623</v>
      </c>
      <c r="E366" s="21">
        <v>38</v>
      </c>
      <c r="F366" s="46" t="s">
        <v>2624</v>
      </c>
      <c r="G366" s="27"/>
      <c r="H366" s="47"/>
      <c r="I366" s="47"/>
      <c r="J366" s="229"/>
      <c r="K366" s="28"/>
      <c r="L366" s="28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</row>
    <row r="367" spans="1:27" ht="37.5">
      <c r="A367" s="121"/>
      <c r="B367" s="20" t="str">
        <f t="shared" si="5"/>
        <v>4120</v>
      </c>
      <c r="C367" s="21"/>
      <c r="D367" s="63" t="s">
        <v>2625</v>
      </c>
      <c r="E367" s="21">
        <v>38</v>
      </c>
      <c r="F367" s="46" t="s">
        <v>2626</v>
      </c>
      <c r="G367" s="27"/>
      <c r="H367" s="47"/>
      <c r="I367" s="47"/>
      <c r="J367" s="229"/>
      <c r="K367" s="28"/>
      <c r="L367" s="28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</row>
    <row r="368" spans="1:27" ht="37.5">
      <c r="A368" s="121"/>
      <c r="B368" s="20" t="str">
        <f t="shared" si="5"/>
        <v>4120</v>
      </c>
      <c r="C368" s="21"/>
      <c r="D368" s="63" t="s">
        <v>2625</v>
      </c>
      <c r="E368" s="21">
        <v>38</v>
      </c>
      <c r="F368" s="46" t="s">
        <v>2627</v>
      </c>
      <c r="G368" s="27"/>
      <c r="H368" s="47"/>
      <c r="I368" s="47"/>
      <c r="J368" s="229"/>
      <c r="K368" s="28"/>
      <c r="L368" s="28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</row>
    <row r="369" spans="1:27" ht="37.5">
      <c r="A369" s="121"/>
      <c r="B369" s="20" t="str">
        <f t="shared" si="5"/>
        <v>4120</v>
      </c>
      <c r="C369" s="21"/>
      <c r="D369" s="63" t="s">
        <v>2628</v>
      </c>
      <c r="E369" s="21">
        <v>38</v>
      </c>
      <c r="F369" s="46" t="s">
        <v>2629</v>
      </c>
      <c r="G369" s="27"/>
      <c r="H369" s="47"/>
      <c r="I369" s="47"/>
      <c r="J369" s="229"/>
      <c r="K369" s="28"/>
      <c r="L369" s="28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</row>
    <row r="370" spans="1:27" ht="37.5">
      <c r="A370" s="121"/>
      <c r="B370" s="20" t="str">
        <f t="shared" si="5"/>
        <v>4120</v>
      </c>
      <c r="C370" s="21"/>
      <c r="D370" s="63" t="s">
        <v>2630</v>
      </c>
      <c r="E370" s="21">
        <v>38</v>
      </c>
      <c r="F370" s="46" t="s">
        <v>2631</v>
      </c>
      <c r="G370" s="27"/>
      <c r="H370" s="47"/>
      <c r="I370" s="47"/>
      <c r="J370" s="229"/>
      <c r="K370" s="28"/>
      <c r="L370" s="28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</row>
    <row r="371" spans="1:27" ht="37.5">
      <c r="A371" s="121"/>
      <c r="B371" s="20" t="str">
        <f t="shared" si="5"/>
        <v>4120</v>
      </c>
      <c r="C371" s="21"/>
      <c r="D371" s="63" t="s">
        <v>2632</v>
      </c>
      <c r="E371" s="21">
        <v>38</v>
      </c>
      <c r="F371" s="46" t="s">
        <v>2633</v>
      </c>
      <c r="G371" s="27"/>
      <c r="H371" s="47"/>
      <c r="I371" s="47"/>
      <c r="J371" s="229"/>
      <c r="K371" s="28"/>
      <c r="L371" s="28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</row>
    <row r="372" spans="1:27" ht="37.5">
      <c r="A372" s="121"/>
      <c r="B372" s="20" t="str">
        <f t="shared" si="5"/>
        <v>4120</v>
      </c>
      <c r="C372" s="21"/>
      <c r="D372" s="63" t="s">
        <v>2634</v>
      </c>
      <c r="E372" s="21">
        <v>38</v>
      </c>
      <c r="F372" s="46" t="s">
        <v>2635</v>
      </c>
      <c r="G372" s="27"/>
      <c r="H372" s="47"/>
      <c r="I372" s="47"/>
      <c r="J372" s="229"/>
      <c r="K372" s="28"/>
      <c r="L372" s="28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</row>
    <row r="373" spans="1:27" ht="37.5">
      <c r="A373" s="121"/>
      <c r="B373" s="20" t="str">
        <f t="shared" si="5"/>
        <v>4120</v>
      </c>
      <c r="C373" s="21"/>
      <c r="D373" s="63" t="s">
        <v>2636</v>
      </c>
      <c r="E373" s="21">
        <v>38</v>
      </c>
      <c r="F373" s="46" t="s">
        <v>2637</v>
      </c>
      <c r="G373" s="27"/>
      <c r="H373" s="47"/>
      <c r="I373" s="47"/>
      <c r="J373" s="229"/>
      <c r="K373" s="28"/>
      <c r="L373" s="28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</row>
    <row r="374" spans="1:27" ht="18.75">
      <c r="A374" s="121"/>
      <c r="B374" s="20" t="str">
        <f t="shared" si="5"/>
        <v>4210</v>
      </c>
      <c r="C374" s="21"/>
      <c r="D374" s="63" t="s">
        <v>2638</v>
      </c>
      <c r="E374" s="21">
        <v>38</v>
      </c>
      <c r="F374" s="46" t="s">
        <v>2639</v>
      </c>
      <c r="G374" s="27"/>
      <c r="H374" s="47"/>
      <c r="I374" s="47"/>
      <c r="J374" s="229"/>
      <c r="K374" s="28"/>
      <c r="L374" s="28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</row>
    <row r="375" spans="1:27" ht="37.5">
      <c r="A375" s="121"/>
      <c r="B375" s="20" t="str">
        <f t="shared" si="5"/>
        <v>4210</v>
      </c>
      <c r="C375" s="21"/>
      <c r="D375" s="63" t="s">
        <v>2640</v>
      </c>
      <c r="E375" s="21">
        <v>38</v>
      </c>
      <c r="F375" s="46" t="s">
        <v>2641</v>
      </c>
      <c r="G375" s="27"/>
      <c r="H375" s="47"/>
      <c r="I375" s="47"/>
      <c r="J375" s="229"/>
      <c r="K375" s="28"/>
      <c r="L375" s="28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</row>
    <row r="376" spans="1:27" ht="37.5">
      <c r="A376" s="121"/>
      <c r="B376" s="20" t="str">
        <f t="shared" si="5"/>
        <v>4210</v>
      </c>
      <c r="C376" s="21"/>
      <c r="D376" s="63" t="s">
        <v>2642</v>
      </c>
      <c r="E376" s="21">
        <v>38</v>
      </c>
      <c r="F376" s="46" t="s">
        <v>2641</v>
      </c>
      <c r="G376" s="27"/>
      <c r="H376" s="47"/>
      <c r="I376" s="47"/>
      <c r="J376" s="229"/>
      <c r="K376" s="28"/>
      <c r="L376" s="28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</row>
    <row r="377" spans="1:27" ht="18.75">
      <c r="A377" s="121"/>
      <c r="B377" s="20" t="str">
        <f t="shared" si="5"/>
        <v>4310</v>
      </c>
      <c r="C377" s="21"/>
      <c r="D377" s="63" t="s">
        <v>2643</v>
      </c>
      <c r="E377" s="21">
        <v>38</v>
      </c>
      <c r="F377" s="46" t="s">
        <v>906</v>
      </c>
      <c r="G377" s="27"/>
      <c r="H377" s="47"/>
      <c r="I377" s="47"/>
      <c r="J377" s="229"/>
      <c r="K377" s="28"/>
      <c r="L377" s="28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</row>
    <row r="378" spans="1:27" ht="18.75">
      <c r="A378" s="121"/>
      <c r="B378" s="20" t="str">
        <f t="shared" si="5"/>
        <v>4310</v>
      </c>
      <c r="C378" s="21"/>
      <c r="D378" s="63" t="s">
        <v>2644</v>
      </c>
      <c r="E378" s="21">
        <v>38</v>
      </c>
      <c r="F378" s="46" t="s">
        <v>2645</v>
      </c>
      <c r="G378" s="27"/>
      <c r="H378" s="47"/>
      <c r="I378" s="47"/>
      <c r="J378" s="229"/>
      <c r="K378" s="28"/>
      <c r="L378" s="28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</row>
    <row r="379" spans="1:27" ht="18.75">
      <c r="A379" s="121"/>
      <c r="B379" s="20" t="str">
        <f t="shared" si="5"/>
        <v>4320</v>
      </c>
      <c r="C379" s="21"/>
      <c r="D379" s="63" t="s">
        <v>2646</v>
      </c>
      <c r="E379" s="21">
        <v>38</v>
      </c>
      <c r="F379" s="46" t="s">
        <v>2647</v>
      </c>
      <c r="G379" s="27"/>
      <c r="H379" s="47"/>
      <c r="I379" s="47"/>
      <c r="J379" s="229"/>
      <c r="K379" s="28"/>
      <c r="L379" s="28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</row>
    <row r="380" spans="1:27" ht="18.75">
      <c r="A380" s="121"/>
      <c r="B380" s="20" t="str">
        <f t="shared" si="5"/>
        <v>4320</v>
      </c>
      <c r="C380" s="21"/>
      <c r="D380" s="63" t="s">
        <v>2648</v>
      </c>
      <c r="E380" s="21">
        <v>38</v>
      </c>
      <c r="F380" s="46" t="s">
        <v>2649</v>
      </c>
      <c r="G380" s="27"/>
      <c r="H380" s="47"/>
      <c r="I380" s="47"/>
      <c r="J380" s="229"/>
      <c r="K380" s="28"/>
      <c r="L380" s="28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</row>
    <row r="381" spans="1:27" ht="18.75">
      <c r="A381" s="121"/>
      <c r="B381" s="20" t="str">
        <f t="shared" si="5"/>
        <v>4320</v>
      </c>
      <c r="C381" s="21"/>
      <c r="D381" s="63" t="s">
        <v>2650</v>
      </c>
      <c r="E381" s="21">
        <v>38</v>
      </c>
      <c r="F381" s="46" t="s">
        <v>2651</v>
      </c>
      <c r="G381" s="27"/>
      <c r="H381" s="47"/>
      <c r="I381" s="47"/>
      <c r="J381" s="229"/>
      <c r="K381" s="28"/>
      <c r="L381" s="28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</row>
    <row r="382" spans="1:27" ht="18.75">
      <c r="A382" s="121"/>
      <c r="B382" s="20" t="str">
        <f t="shared" si="5"/>
        <v>4320</v>
      </c>
      <c r="C382" s="21"/>
      <c r="D382" s="63" t="s">
        <v>2652</v>
      </c>
      <c r="E382" s="21">
        <v>38</v>
      </c>
      <c r="F382" s="46" t="s">
        <v>2653</v>
      </c>
      <c r="G382" s="27"/>
      <c r="H382" s="47"/>
      <c r="I382" s="47"/>
      <c r="J382" s="229"/>
      <c r="K382" s="28"/>
      <c r="L382" s="28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</row>
    <row r="383" spans="1:27" ht="37.5">
      <c r="A383" s="121"/>
      <c r="B383" s="20" t="str">
        <f t="shared" si="5"/>
        <v>4320</v>
      </c>
      <c r="C383" s="21"/>
      <c r="D383" s="63" t="s">
        <v>2654</v>
      </c>
      <c r="E383" s="21">
        <v>38</v>
      </c>
      <c r="F383" s="46" t="s">
        <v>2655</v>
      </c>
      <c r="G383" s="27"/>
      <c r="H383" s="47"/>
      <c r="I383" s="47"/>
      <c r="J383" s="229"/>
      <c r="K383" s="28"/>
      <c r="L383" s="28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</row>
    <row r="384" spans="1:27" ht="37.5">
      <c r="A384" s="121"/>
      <c r="B384" s="20" t="str">
        <f t="shared" si="5"/>
        <v>4320</v>
      </c>
      <c r="C384" s="21"/>
      <c r="D384" s="63" t="s">
        <v>2656</v>
      </c>
      <c r="E384" s="21">
        <v>38</v>
      </c>
      <c r="F384" s="46" t="s">
        <v>2657</v>
      </c>
      <c r="G384" s="27"/>
      <c r="H384" s="47"/>
      <c r="I384" s="47"/>
      <c r="J384" s="229"/>
      <c r="K384" s="28"/>
      <c r="L384" s="28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</row>
    <row r="385" spans="1:27" ht="18.75">
      <c r="A385" s="121"/>
      <c r="B385" s="20" t="str">
        <f t="shared" si="5"/>
        <v>4320</v>
      </c>
      <c r="C385" s="21"/>
      <c r="D385" s="63" t="s">
        <v>2658</v>
      </c>
      <c r="E385" s="21">
        <v>38</v>
      </c>
      <c r="F385" s="46" t="s">
        <v>2659</v>
      </c>
      <c r="G385" s="27"/>
      <c r="H385" s="47"/>
      <c r="I385" s="47"/>
      <c r="J385" s="229"/>
      <c r="K385" s="28"/>
      <c r="L385" s="28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</row>
    <row r="386" spans="1:27" ht="37.5">
      <c r="A386" s="121"/>
      <c r="B386" s="20" t="str">
        <f t="shared" ref="B386:B449" si="6">LEFT(D386, SEARCH("",D386,4))</f>
        <v>4320</v>
      </c>
      <c r="C386" s="21"/>
      <c r="D386" s="63" t="s">
        <v>2660</v>
      </c>
      <c r="E386" s="21">
        <v>38</v>
      </c>
      <c r="F386" s="46" t="s">
        <v>2661</v>
      </c>
      <c r="G386" s="27"/>
      <c r="H386" s="47"/>
      <c r="I386" s="47"/>
      <c r="J386" s="229"/>
      <c r="K386" s="28"/>
      <c r="L386" s="28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</row>
    <row r="387" spans="1:27" ht="37.5">
      <c r="A387" s="121"/>
      <c r="B387" s="20" t="str">
        <f t="shared" si="6"/>
        <v>4320</v>
      </c>
      <c r="C387" s="21"/>
      <c r="D387" s="63" t="s">
        <v>2662</v>
      </c>
      <c r="E387" s="21">
        <v>38</v>
      </c>
      <c r="F387" s="46" t="s">
        <v>2663</v>
      </c>
      <c r="G387" s="27"/>
      <c r="H387" s="47"/>
      <c r="I387" s="47"/>
      <c r="J387" s="229"/>
      <c r="K387" s="28"/>
      <c r="L387" s="28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</row>
    <row r="388" spans="1:27" ht="37.5">
      <c r="A388" s="121"/>
      <c r="B388" s="20" t="str">
        <f t="shared" si="6"/>
        <v>4320</v>
      </c>
      <c r="C388" s="21"/>
      <c r="D388" s="63" t="s">
        <v>2648</v>
      </c>
      <c r="E388" s="21">
        <v>38</v>
      </c>
      <c r="F388" s="46" t="s">
        <v>2664</v>
      </c>
      <c r="G388" s="27"/>
      <c r="H388" s="47"/>
      <c r="I388" s="47"/>
      <c r="J388" s="229"/>
      <c r="K388" s="28"/>
      <c r="L388" s="28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</row>
    <row r="389" spans="1:27" ht="18.75">
      <c r="A389" s="121"/>
      <c r="B389" s="20" t="str">
        <f t="shared" si="6"/>
        <v>4320</v>
      </c>
      <c r="C389" s="21"/>
      <c r="D389" s="63" t="s">
        <v>2665</v>
      </c>
      <c r="E389" s="21">
        <v>38</v>
      </c>
      <c r="F389" s="46" t="s">
        <v>2666</v>
      </c>
      <c r="G389" s="27"/>
      <c r="H389" s="47"/>
      <c r="I389" s="47"/>
      <c r="J389" s="229"/>
      <c r="K389" s="28"/>
      <c r="L389" s="28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</row>
    <row r="390" spans="1:27" ht="18.75">
      <c r="A390" s="121"/>
      <c r="B390" s="20" t="str">
        <f t="shared" si="6"/>
        <v>4320</v>
      </c>
      <c r="C390" s="21"/>
      <c r="D390" s="63" t="s">
        <v>2667</v>
      </c>
      <c r="E390" s="21">
        <v>38</v>
      </c>
      <c r="F390" s="46" t="s">
        <v>2668</v>
      </c>
      <c r="G390" s="27"/>
      <c r="H390" s="47"/>
      <c r="I390" s="47"/>
      <c r="J390" s="229"/>
      <c r="K390" s="28"/>
      <c r="L390" s="28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</row>
    <row r="391" spans="1:27" ht="37.5">
      <c r="A391" s="121"/>
      <c r="B391" s="20" t="str">
        <f t="shared" si="6"/>
        <v>4440</v>
      </c>
      <c r="C391" s="21"/>
      <c r="D391" s="63" t="s">
        <v>2669</v>
      </c>
      <c r="E391" s="21">
        <v>38</v>
      </c>
      <c r="F391" s="46" t="s">
        <v>2670</v>
      </c>
      <c r="G391" s="27"/>
      <c r="H391" s="47"/>
      <c r="I391" s="47"/>
      <c r="J391" s="229"/>
      <c r="K391" s="28"/>
      <c r="L391" s="28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</row>
    <row r="392" spans="1:27" ht="18.75">
      <c r="A392" s="121"/>
      <c r="B392" s="20" t="str">
        <f t="shared" si="6"/>
        <v>4540</v>
      </c>
      <c r="C392" s="21"/>
      <c r="D392" s="63" t="s">
        <v>2671</v>
      </c>
      <c r="E392" s="21">
        <v>38</v>
      </c>
      <c r="F392" s="46" t="s">
        <v>2672</v>
      </c>
      <c r="G392" s="27"/>
      <c r="H392" s="47"/>
      <c r="I392" s="47"/>
      <c r="J392" s="229"/>
      <c r="K392" s="28"/>
      <c r="L392" s="28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</row>
    <row r="393" spans="1:27" ht="18.75">
      <c r="A393" s="121"/>
      <c r="B393" s="20" t="str">
        <f t="shared" si="6"/>
        <v>4540</v>
      </c>
      <c r="C393" s="21"/>
      <c r="D393" s="63" t="s">
        <v>2673</v>
      </c>
      <c r="E393" s="21">
        <v>38</v>
      </c>
      <c r="F393" s="46" t="s">
        <v>2674</v>
      </c>
      <c r="G393" s="27"/>
      <c r="H393" s="47"/>
      <c r="I393" s="47"/>
      <c r="J393" s="229"/>
      <c r="K393" s="28"/>
      <c r="L393" s="28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</row>
    <row r="394" spans="1:27" ht="18.75">
      <c r="A394" s="121"/>
      <c r="B394" s="20" t="str">
        <f t="shared" si="6"/>
        <v>4540</v>
      </c>
      <c r="C394" s="21"/>
      <c r="D394" s="63" t="s">
        <v>2675</v>
      </c>
      <c r="E394" s="21">
        <v>38</v>
      </c>
      <c r="F394" s="46" t="s">
        <v>2676</v>
      </c>
      <c r="G394" s="27"/>
      <c r="H394" s="47"/>
      <c r="I394" s="47"/>
      <c r="J394" s="229"/>
      <c r="K394" s="28"/>
      <c r="L394" s="28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</row>
    <row r="395" spans="1:27" ht="18.75">
      <c r="A395" s="121"/>
      <c r="B395" s="20" t="str">
        <f t="shared" si="6"/>
        <v>4630</v>
      </c>
      <c r="C395" s="21"/>
      <c r="D395" s="63" t="s">
        <v>2677</v>
      </c>
      <c r="E395" s="21">
        <v>38</v>
      </c>
      <c r="F395" s="46" t="s">
        <v>2678</v>
      </c>
      <c r="G395" s="27"/>
      <c r="H395" s="47"/>
      <c r="I395" s="47"/>
      <c r="J395" s="229"/>
      <c r="K395" s="28"/>
      <c r="L395" s="28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</row>
    <row r="396" spans="1:27" ht="18.75">
      <c r="A396" s="121"/>
      <c r="B396" s="20" t="str">
        <f t="shared" si="6"/>
        <v>4630</v>
      </c>
      <c r="C396" s="21"/>
      <c r="D396" s="63" t="s">
        <v>2679</v>
      </c>
      <c r="E396" s="21">
        <v>38</v>
      </c>
      <c r="F396" s="46" t="s">
        <v>2680</v>
      </c>
      <c r="G396" s="27"/>
      <c r="H396" s="47"/>
      <c r="I396" s="47"/>
      <c r="J396" s="229"/>
      <c r="K396" s="28"/>
      <c r="L396" s="28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</row>
    <row r="397" spans="1:27" ht="18.75">
      <c r="A397" s="121"/>
      <c r="B397" s="20" t="str">
        <f t="shared" si="6"/>
        <v>4630</v>
      </c>
      <c r="C397" s="21"/>
      <c r="D397" s="63" t="s">
        <v>2677</v>
      </c>
      <c r="E397" s="21">
        <v>38</v>
      </c>
      <c r="F397" s="46" t="s">
        <v>2681</v>
      </c>
      <c r="G397" s="27"/>
      <c r="H397" s="47"/>
      <c r="I397" s="47"/>
      <c r="J397" s="229"/>
      <c r="K397" s="28"/>
      <c r="L397" s="28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</row>
    <row r="398" spans="1:27" ht="18.75">
      <c r="A398" s="121"/>
      <c r="B398" s="20" t="str">
        <f t="shared" si="6"/>
        <v>4910</v>
      </c>
      <c r="C398" s="21"/>
      <c r="D398" s="63" t="s">
        <v>2682</v>
      </c>
      <c r="E398" s="21">
        <v>38</v>
      </c>
      <c r="F398" s="46" t="s">
        <v>2683</v>
      </c>
      <c r="G398" s="27"/>
      <c r="H398" s="47"/>
      <c r="I398" s="47"/>
      <c r="J398" s="229"/>
      <c r="K398" s="28"/>
      <c r="L398" s="28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</row>
    <row r="399" spans="1:27" ht="18.75">
      <c r="A399" s="121"/>
      <c r="B399" s="20" t="str">
        <f t="shared" si="6"/>
        <v>4930</v>
      </c>
      <c r="C399" s="21"/>
      <c r="D399" s="63" t="s">
        <v>2684</v>
      </c>
      <c r="E399" s="21">
        <v>38</v>
      </c>
      <c r="F399" s="46" t="s">
        <v>1723</v>
      </c>
      <c r="G399" s="27"/>
      <c r="H399" s="47"/>
      <c r="I399" s="47"/>
      <c r="J399" s="229"/>
      <c r="K399" s="28"/>
      <c r="L399" s="28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</row>
    <row r="400" spans="1:27" ht="18.75">
      <c r="A400" s="121"/>
      <c r="B400" s="20" t="str">
        <f t="shared" si="6"/>
        <v>4940</v>
      </c>
      <c r="C400" s="21"/>
      <c r="D400" s="63" t="s">
        <v>2685</v>
      </c>
      <c r="E400" s="21">
        <v>38</v>
      </c>
      <c r="F400" s="46" t="s">
        <v>2686</v>
      </c>
      <c r="G400" s="27"/>
      <c r="H400" s="47"/>
      <c r="I400" s="47"/>
      <c r="J400" s="229"/>
      <c r="K400" s="28"/>
      <c r="L400" s="28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</row>
    <row r="401" spans="1:27" ht="18.75">
      <c r="A401" s="121"/>
      <c r="B401" s="20" t="str">
        <f t="shared" si="6"/>
        <v>4940</v>
      </c>
      <c r="C401" s="21"/>
      <c r="D401" s="63" t="s">
        <v>2687</v>
      </c>
      <c r="E401" s="21">
        <v>38</v>
      </c>
      <c r="F401" s="46" t="s">
        <v>2688</v>
      </c>
      <c r="G401" s="27"/>
      <c r="H401" s="47"/>
      <c r="I401" s="47"/>
      <c r="J401" s="229"/>
      <c r="K401" s="28"/>
      <c r="L401" s="28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</row>
    <row r="402" spans="1:27" ht="18.75">
      <c r="A402" s="121"/>
      <c r="B402" s="20" t="str">
        <f t="shared" si="6"/>
        <v>5120</v>
      </c>
      <c r="C402" s="21"/>
      <c r="D402" s="63" t="s">
        <v>2689</v>
      </c>
      <c r="E402" s="21">
        <v>38</v>
      </c>
      <c r="F402" s="46" t="s">
        <v>2690</v>
      </c>
      <c r="G402" s="27"/>
      <c r="H402" s="47"/>
      <c r="I402" s="47"/>
      <c r="J402" s="229"/>
      <c r="K402" s="28"/>
      <c r="L402" s="28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</row>
    <row r="403" spans="1:27" ht="18.75">
      <c r="A403" s="121"/>
      <c r="B403" s="20" t="str">
        <f t="shared" si="6"/>
        <v>5130</v>
      </c>
      <c r="C403" s="21"/>
      <c r="D403" s="63" t="s">
        <v>2691</v>
      </c>
      <c r="E403" s="21">
        <v>38</v>
      </c>
      <c r="F403" s="46" t="s">
        <v>2692</v>
      </c>
      <c r="G403" s="27"/>
      <c r="H403" s="47"/>
      <c r="I403" s="47"/>
      <c r="J403" s="229"/>
      <c r="K403" s="28"/>
      <c r="L403" s="28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</row>
    <row r="404" spans="1:27" ht="18.75">
      <c r="A404" s="121"/>
      <c r="B404" s="20" t="str">
        <f t="shared" si="6"/>
        <v>5130</v>
      </c>
      <c r="C404" s="21"/>
      <c r="D404" s="63" t="s">
        <v>2693</v>
      </c>
      <c r="E404" s="21">
        <v>38</v>
      </c>
      <c r="F404" s="46" t="s">
        <v>2694</v>
      </c>
      <c r="G404" s="27"/>
      <c r="H404" s="47"/>
      <c r="I404" s="47"/>
      <c r="J404" s="229"/>
      <c r="K404" s="28"/>
      <c r="L404" s="28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</row>
    <row r="405" spans="1:27" ht="18.75">
      <c r="A405" s="121"/>
      <c r="B405" s="20" t="str">
        <f t="shared" si="6"/>
        <v>5130</v>
      </c>
      <c r="C405" s="21"/>
      <c r="D405" s="63" t="s">
        <v>2695</v>
      </c>
      <c r="E405" s="21">
        <v>38</v>
      </c>
      <c r="F405" s="46" t="s">
        <v>2696</v>
      </c>
      <c r="G405" s="27"/>
      <c r="H405" s="47"/>
      <c r="I405" s="47"/>
      <c r="J405" s="229"/>
      <c r="K405" s="28"/>
      <c r="L405" s="28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</row>
    <row r="406" spans="1:27" ht="18.75">
      <c r="A406" s="121"/>
      <c r="B406" s="20" t="str">
        <f t="shared" si="6"/>
        <v>5130</v>
      </c>
      <c r="C406" s="21"/>
      <c r="D406" s="63" t="s">
        <v>2697</v>
      </c>
      <c r="E406" s="21">
        <v>38</v>
      </c>
      <c r="F406" s="46" t="s">
        <v>2698</v>
      </c>
      <c r="G406" s="27"/>
      <c r="H406" s="47"/>
      <c r="I406" s="47"/>
      <c r="J406" s="229"/>
      <c r="K406" s="28"/>
      <c r="L406" s="28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</row>
    <row r="407" spans="1:27" ht="18.75">
      <c r="A407" s="121"/>
      <c r="B407" s="20" t="str">
        <f t="shared" si="6"/>
        <v>5130</v>
      </c>
      <c r="C407" s="21"/>
      <c r="D407" s="63" t="s">
        <v>2699</v>
      </c>
      <c r="E407" s="21">
        <v>38</v>
      </c>
      <c r="F407" s="46" t="s">
        <v>2700</v>
      </c>
      <c r="G407" s="27"/>
      <c r="H407" s="47"/>
      <c r="I407" s="47"/>
      <c r="J407" s="229"/>
      <c r="K407" s="28"/>
      <c r="L407" s="28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</row>
    <row r="408" spans="1:27" ht="18.75">
      <c r="A408" s="121"/>
      <c r="B408" s="20" t="str">
        <f t="shared" si="6"/>
        <v>5180</v>
      </c>
      <c r="C408" s="21"/>
      <c r="D408" s="63" t="s">
        <v>2701</v>
      </c>
      <c r="E408" s="21">
        <v>38</v>
      </c>
      <c r="F408" s="46" t="s">
        <v>2702</v>
      </c>
      <c r="G408" s="27"/>
      <c r="H408" s="47"/>
      <c r="I408" s="47"/>
      <c r="J408" s="229"/>
      <c r="K408" s="28"/>
      <c r="L408" s="28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</row>
    <row r="409" spans="1:27" ht="18.75">
      <c r="A409" s="121"/>
      <c r="B409" s="20" t="str">
        <f t="shared" si="6"/>
        <v>5180</v>
      </c>
      <c r="C409" s="21"/>
      <c r="D409" s="63" t="s">
        <v>2701</v>
      </c>
      <c r="E409" s="21">
        <v>38</v>
      </c>
      <c r="F409" s="46" t="s">
        <v>2703</v>
      </c>
      <c r="G409" s="27"/>
      <c r="H409" s="47"/>
      <c r="I409" s="47"/>
      <c r="J409" s="229"/>
      <c r="K409" s="28"/>
      <c r="L409" s="28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</row>
    <row r="410" spans="1:27" ht="18.75">
      <c r="A410" s="121"/>
      <c r="B410" s="20" t="str">
        <f t="shared" si="6"/>
        <v>5210</v>
      </c>
      <c r="C410" s="21"/>
      <c r="D410" s="63" t="s">
        <v>2704</v>
      </c>
      <c r="E410" s="21">
        <v>38</v>
      </c>
      <c r="F410" s="46" t="s">
        <v>2705</v>
      </c>
      <c r="G410" s="27"/>
      <c r="H410" s="47"/>
      <c r="I410" s="47"/>
      <c r="J410" s="229"/>
      <c r="K410" s="28"/>
      <c r="L410" s="28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</row>
    <row r="411" spans="1:27" ht="18.75">
      <c r="A411" s="121"/>
      <c r="B411" s="20" t="str">
        <f t="shared" si="6"/>
        <v>5210</v>
      </c>
      <c r="C411" s="21"/>
      <c r="D411" s="63" t="s">
        <v>2706</v>
      </c>
      <c r="E411" s="21">
        <v>38</v>
      </c>
      <c r="F411" s="46" t="s">
        <v>2707</v>
      </c>
      <c r="G411" s="27"/>
      <c r="H411" s="47"/>
      <c r="I411" s="47"/>
      <c r="J411" s="229"/>
      <c r="K411" s="28"/>
      <c r="L411" s="28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</row>
    <row r="412" spans="1:27" ht="18.75">
      <c r="A412" s="121"/>
      <c r="B412" s="20" t="str">
        <f t="shared" si="6"/>
        <v>5210</v>
      </c>
      <c r="C412" s="21"/>
      <c r="D412" s="63" t="s">
        <v>2708</v>
      </c>
      <c r="E412" s="21">
        <v>38</v>
      </c>
      <c r="F412" s="46" t="s">
        <v>2709</v>
      </c>
      <c r="G412" s="27"/>
      <c r="H412" s="47"/>
      <c r="I412" s="47"/>
      <c r="J412" s="229"/>
      <c r="K412" s="28"/>
      <c r="L412" s="28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</row>
    <row r="413" spans="1:27" ht="18.75">
      <c r="A413" s="121"/>
      <c r="B413" s="20" t="str">
        <f t="shared" si="6"/>
        <v>5210</v>
      </c>
      <c r="C413" s="21"/>
      <c r="D413" s="63" t="s">
        <v>2710</v>
      </c>
      <c r="E413" s="21">
        <v>38</v>
      </c>
      <c r="F413" s="46" t="s">
        <v>2711</v>
      </c>
      <c r="G413" s="27"/>
      <c r="H413" s="47"/>
      <c r="I413" s="47"/>
      <c r="J413" s="229"/>
      <c r="K413" s="28"/>
      <c r="L413" s="28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</row>
    <row r="414" spans="1:27" ht="18.75">
      <c r="A414" s="121"/>
      <c r="B414" s="20" t="str">
        <f t="shared" si="6"/>
        <v>5220</v>
      </c>
      <c r="C414" s="21"/>
      <c r="D414" s="63" t="s">
        <v>2712</v>
      </c>
      <c r="E414" s="21">
        <v>38</v>
      </c>
      <c r="F414" s="46" t="s">
        <v>2713</v>
      </c>
      <c r="G414" s="27"/>
      <c r="H414" s="47"/>
      <c r="I414" s="47"/>
      <c r="J414" s="229"/>
      <c r="K414" s="28"/>
      <c r="L414" s="28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</row>
    <row r="415" spans="1:27" ht="18.75">
      <c r="A415" s="121"/>
      <c r="B415" s="20" t="str">
        <f t="shared" si="6"/>
        <v>5345</v>
      </c>
      <c r="C415" s="21"/>
      <c r="D415" s="63" t="s">
        <v>2714</v>
      </c>
      <c r="E415" s="21">
        <v>38</v>
      </c>
      <c r="F415" s="46" t="s">
        <v>2715</v>
      </c>
      <c r="G415" s="27"/>
      <c r="H415" s="47"/>
      <c r="I415" s="47"/>
      <c r="J415" s="229"/>
      <c r="K415" s="28"/>
      <c r="L415" s="28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</row>
    <row r="416" spans="1:27" ht="18.75">
      <c r="A416" s="121"/>
      <c r="B416" s="20" t="str">
        <f t="shared" si="6"/>
        <v>5430</v>
      </c>
      <c r="C416" s="21"/>
      <c r="D416" s="63" t="s">
        <v>2716</v>
      </c>
      <c r="E416" s="21">
        <v>38</v>
      </c>
      <c r="F416" s="46" t="s">
        <v>2717</v>
      </c>
      <c r="G416" s="27"/>
      <c r="H416" s="47"/>
      <c r="I416" s="47"/>
      <c r="J416" s="229"/>
      <c r="K416" s="28"/>
      <c r="L416" s="28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</row>
    <row r="417" spans="1:27" ht="18.75">
      <c r="A417" s="121"/>
      <c r="B417" s="20" t="str">
        <f t="shared" si="6"/>
        <v>5440</v>
      </c>
      <c r="C417" s="21"/>
      <c r="D417" s="63" t="s">
        <v>2718</v>
      </c>
      <c r="E417" s="21">
        <v>38</v>
      </c>
      <c r="F417" s="46" t="s">
        <v>2719</v>
      </c>
      <c r="G417" s="27"/>
      <c r="H417" s="47"/>
      <c r="I417" s="47"/>
      <c r="J417" s="229"/>
      <c r="K417" s="28"/>
      <c r="L417" s="28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</row>
    <row r="418" spans="1:27" ht="18.75">
      <c r="A418" s="121"/>
      <c r="B418" s="20" t="str">
        <f t="shared" si="6"/>
        <v>5440</v>
      </c>
      <c r="C418" s="21"/>
      <c r="D418" s="63" t="s">
        <v>2720</v>
      </c>
      <c r="E418" s="21">
        <v>38</v>
      </c>
      <c r="F418" s="46" t="s">
        <v>2503</v>
      </c>
      <c r="G418" s="27"/>
      <c r="H418" s="47"/>
      <c r="I418" s="47"/>
      <c r="J418" s="229"/>
      <c r="K418" s="28"/>
      <c r="L418" s="28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</row>
    <row r="419" spans="1:27" ht="18.75">
      <c r="A419" s="121"/>
      <c r="B419" s="20" t="str">
        <f t="shared" si="6"/>
        <v>5440</v>
      </c>
      <c r="C419" s="21"/>
      <c r="D419" s="63" t="s">
        <v>2502</v>
      </c>
      <c r="E419" s="21">
        <v>38</v>
      </c>
      <c r="F419" s="46" t="s">
        <v>2721</v>
      </c>
      <c r="G419" s="27"/>
      <c r="H419" s="47"/>
      <c r="I419" s="47"/>
      <c r="J419" s="229"/>
      <c r="K419" s="28"/>
      <c r="L419" s="28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</row>
    <row r="420" spans="1:27" ht="37.5">
      <c r="A420" s="121"/>
      <c r="B420" s="20" t="str">
        <f t="shared" si="6"/>
        <v>5920</v>
      </c>
      <c r="C420" s="21"/>
      <c r="D420" s="63" t="s">
        <v>2722</v>
      </c>
      <c r="E420" s="21">
        <v>38</v>
      </c>
      <c r="F420" s="46" t="s">
        <v>2723</v>
      </c>
      <c r="G420" s="27"/>
      <c r="H420" s="47"/>
      <c r="I420" s="47"/>
      <c r="J420" s="229"/>
      <c r="K420" s="28"/>
      <c r="L420" s="28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</row>
    <row r="421" spans="1:27" ht="37.5">
      <c r="A421" s="121"/>
      <c r="B421" s="20" t="str">
        <f t="shared" si="6"/>
        <v>5920</v>
      </c>
      <c r="C421" s="21"/>
      <c r="D421" s="63" t="s">
        <v>2724</v>
      </c>
      <c r="E421" s="21">
        <v>38</v>
      </c>
      <c r="F421" s="46" t="s">
        <v>2725</v>
      </c>
      <c r="G421" s="27"/>
      <c r="H421" s="47"/>
      <c r="I421" s="47"/>
      <c r="J421" s="229"/>
      <c r="K421" s="28"/>
      <c r="L421" s="28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</row>
    <row r="422" spans="1:27" ht="37.5">
      <c r="A422" s="121"/>
      <c r="B422" s="20" t="str">
        <f t="shared" si="6"/>
        <v>5920</v>
      </c>
      <c r="C422" s="21"/>
      <c r="D422" s="63" t="s">
        <v>2726</v>
      </c>
      <c r="E422" s="21">
        <v>38</v>
      </c>
      <c r="F422" s="46" t="s">
        <v>2727</v>
      </c>
      <c r="G422" s="27"/>
      <c r="H422" s="47"/>
      <c r="I422" s="47"/>
      <c r="J422" s="229"/>
      <c r="K422" s="28"/>
      <c r="L422" s="28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</row>
    <row r="423" spans="1:27" ht="37.5">
      <c r="A423" s="121"/>
      <c r="B423" s="20" t="str">
        <f t="shared" si="6"/>
        <v>5920</v>
      </c>
      <c r="C423" s="21"/>
      <c r="D423" s="63" t="s">
        <v>2728</v>
      </c>
      <c r="E423" s="21">
        <v>38</v>
      </c>
      <c r="F423" s="46" t="s">
        <v>2729</v>
      </c>
      <c r="G423" s="27"/>
      <c r="H423" s="47"/>
      <c r="I423" s="47"/>
      <c r="J423" s="229"/>
      <c r="K423" s="28"/>
      <c r="L423" s="28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</row>
    <row r="424" spans="1:27" ht="37.5">
      <c r="A424" s="121"/>
      <c r="B424" s="20" t="str">
        <f t="shared" si="6"/>
        <v>6110</v>
      </c>
      <c r="C424" s="21"/>
      <c r="D424" s="63" t="s">
        <v>2730</v>
      </c>
      <c r="E424" s="21">
        <v>38</v>
      </c>
      <c r="F424" s="46" t="s">
        <v>2731</v>
      </c>
      <c r="G424" s="27"/>
      <c r="H424" s="47"/>
      <c r="I424" s="47"/>
      <c r="J424" s="229"/>
      <c r="K424" s="28"/>
      <c r="L424" s="28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</row>
    <row r="425" spans="1:27" ht="37.5">
      <c r="A425" s="121"/>
      <c r="B425" s="20" t="str">
        <f t="shared" si="6"/>
        <v>6110</v>
      </c>
      <c r="C425" s="21"/>
      <c r="D425" s="63" t="s">
        <v>2732</v>
      </c>
      <c r="E425" s="21">
        <v>38</v>
      </c>
      <c r="F425" s="46" t="s">
        <v>2733</v>
      </c>
      <c r="G425" s="27"/>
      <c r="H425" s="47"/>
      <c r="I425" s="47"/>
      <c r="J425" s="229"/>
      <c r="K425" s="28"/>
      <c r="L425" s="28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</row>
    <row r="426" spans="1:27" ht="37.5">
      <c r="A426" s="121"/>
      <c r="B426" s="20" t="str">
        <f t="shared" si="6"/>
        <v>6115</v>
      </c>
      <c r="C426" s="21"/>
      <c r="D426" s="63" t="s">
        <v>2734</v>
      </c>
      <c r="E426" s="21">
        <v>38</v>
      </c>
      <c r="F426" s="46" t="s">
        <v>2735</v>
      </c>
      <c r="G426" s="27"/>
      <c r="H426" s="47"/>
      <c r="I426" s="47"/>
      <c r="J426" s="229"/>
      <c r="K426" s="28"/>
      <c r="L426" s="28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</row>
    <row r="427" spans="1:27" ht="37.5">
      <c r="A427" s="121"/>
      <c r="B427" s="20" t="str">
        <f t="shared" si="6"/>
        <v>6115</v>
      </c>
      <c r="C427" s="21"/>
      <c r="D427" s="63" t="s">
        <v>2736</v>
      </c>
      <c r="E427" s="21">
        <v>38</v>
      </c>
      <c r="F427" s="46" t="s">
        <v>2737</v>
      </c>
      <c r="G427" s="27"/>
      <c r="H427" s="47"/>
      <c r="I427" s="47"/>
      <c r="J427" s="229"/>
      <c r="K427" s="28"/>
      <c r="L427" s="28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</row>
    <row r="428" spans="1:27" ht="37.5">
      <c r="A428" s="121"/>
      <c r="B428" s="20" t="str">
        <f t="shared" si="6"/>
        <v>6115</v>
      </c>
      <c r="C428" s="21"/>
      <c r="D428" s="63" t="s">
        <v>2738</v>
      </c>
      <c r="E428" s="21">
        <v>38</v>
      </c>
      <c r="F428" s="46" t="s">
        <v>2739</v>
      </c>
      <c r="G428" s="27"/>
      <c r="H428" s="47"/>
      <c r="I428" s="47"/>
      <c r="J428" s="229"/>
      <c r="K428" s="28"/>
      <c r="L428" s="28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</row>
    <row r="429" spans="1:27" ht="37.5">
      <c r="A429" s="121"/>
      <c r="B429" s="20" t="str">
        <f t="shared" si="6"/>
        <v>6115</v>
      </c>
      <c r="C429" s="21"/>
      <c r="D429" s="63" t="s">
        <v>2740</v>
      </c>
      <c r="E429" s="21">
        <v>38</v>
      </c>
      <c r="F429" s="46" t="s">
        <v>2741</v>
      </c>
      <c r="G429" s="27"/>
      <c r="H429" s="47"/>
      <c r="I429" s="47"/>
      <c r="J429" s="229"/>
      <c r="K429" s="28"/>
      <c r="L429" s="28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</row>
    <row r="430" spans="1:27" ht="37.5">
      <c r="A430" s="121"/>
      <c r="B430" s="20" t="str">
        <f t="shared" si="6"/>
        <v>6125</v>
      </c>
      <c r="C430" s="21"/>
      <c r="D430" s="63" t="s">
        <v>2743</v>
      </c>
      <c r="E430" s="21">
        <v>38</v>
      </c>
      <c r="F430" s="46" t="s">
        <v>2744</v>
      </c>
      <c r="G430" s="27"/>
      <c r="H430" s="47"/>
      <c r="I430" s="47"/>
      <c r="J430" s="229"/>
      <c r="K430" s="28"/>
      <c r="L430" s="28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</row>
    <row r="431" spans="1:27" ht="18.75">
      <c r="A431" s="121"/>
      <c r="B431" s="20" t="str">
        <f t="shared" si="6"/>
        <v>6125</v>
      </c>
      <c r="C431" s="21"/>
      <c r="D431" s="63" t="s">
        <v>2745</v>
      </c>
      <c r="E431" s="21">
        <v>38</v>
      </c>
      <c r="F431" s="46" t="s">
        <v>2746</v>
      </c>
      <c r="G431" s="27"/>
      <c r="H431" s="47"/>
      <c r="I431" s="47"/>
      <c r="J431" s="229"/>
      <c r="K431" s="28"/>
      <c r="L431" s="28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</row>
    <row r="432" spans="1:27" ht="18.75">
      <c r="A432" s="121"/>
      <c r="B432" s="20" t="str">
        <f t="shared" si="6"/>
        <v>6150</v>
      </c>
      <c r="C432" s="21"/>
      <c r="D432" s="63" t="s">
        <v>2748</v>
      </c>
      <c r="E432" s="21">
        <v>38</v>
      </c>
      <c r="F432" s="46" t="s">
        <v>2749</v>
      </c>
      <c r="G432" s="27"/>
      <c r="H432" s="47"/>
      <c r="I432" s="47"/>
      <c r="J432" s="229"/>
      <c r="K432" s="28"/>
      <c r="L432" s="28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</row>
    <row r="433" spans="1:27" ht="18.75">
      <c r="A433" s="121"/>
      <c r="B433" s="20" t="str">
        <f t="shared" si="6"/>
        <v>6150</v>
      </c>
      <c r="C433" s="21"/>
      <c r="D433" s="63" t="s">
        <v>2750</v>
      </c>
      <c r="E433" s="21">
        <v>38</v>
      </c>
      <c r="F433" s="46" t="s">
        <v>2751</v>
      </c>
      <c r="G433" s="27"/>
      <c r="H433" s="47"/>
      <c r="I433" s="47"/>
      <c r="J433" s="229"/>
      <c r="K433" s="28"/>
      <c r="L433" s="28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</row>
    <row r="434" spans="1:27" ht="37.5">
      <c r="A434" s="121"/>
      <c r="B434" s="20" t="str">
        <f t="shared" si="6"/>
        <v>6150</v>
      </c>
      <c r="C434" s="21"/>
      <c r="D434" s="63" t="s">
        <v>2752</v>
      </c>
      <c r="E434" s="21">
        <v>38</v>
      </c>
      <c r="F434" s="46" t="s">
        <v>2753</v>
      </c>
      <c r="G434" s="27"/>
      <c r="H434" s="47"/>
      <c r="I434" s="47"/>
      <c r="J434" s="229"/>
      <c r="K434" s="28"/>
      <c r="L434" s="28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</row>
    <row r="435" spans="1:27" ht="18.75">
      <c r="A435" s="121"/>
      <c r="B435" s="20" t="str">
        <f t="shared" si="6"/>
        <v>6150</v>
      </c>
      <c r="C435" s="21"/>
      <c r="D435" s="63" t="s">
        <v>2756</v>
      </c>
      <c r="E435" s="21">
        <v>38</v>
      </c>
      <c r="F435" s="46" t="s">
        <v>2757</v>
      </c>
      <c r="G435" s="27"/>
      <c r="H435" s="47"/>
      <c r="I435" s="47"/>
      <c r="J435" s="229"/>
      <c r="K435" s="28"/>
      <c r="L435" s="28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</row>
    <row r="436" spans="1:27" ht="18.75">
      <c r="A436" s="121"/>
      <c r="B436" s="20" t="str">
        <f t="shared" si="6"/>
        <v>6150</v>
      </c>
      <c r="C436" s="21"/>
      <c r="D436" s="63" t="s">
        <v>2758</v>
      </c>
      <c r="E436" s="21">
        <v>38</v>
      </c>
      <c r="F436" s="46" t="s">
        <v>2759</v>
      </c>
      <c r="G436" s="27"/>
      <c r="H436" s="47"/>
      <c r="I436" s="47"/>
      <c r="J436" s="229"/>
      <c r="K436" s="28"/>
      <c r="L436" s="28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</row>
    <row r="437" spans="1:27" ht="37.5">
      <c r="A437" s="121"/>
      <c r="B437" s="20" t="str">
        <f t="shared" si="6"/>
        <v>6150</v>
      </c>
      <c r="C437" s="21"/>
      <c r="D437" s="63" t="s">
        <v>2760</v>
      </c>
      <c r="E437" s="21">
        <v>38</v>
      </c>
      <c r="F437" s="46" t="s">
        <v>2761</v>
      </c>
      <c r="G437" s="27"/>
      <c r="H437" s="47"/>
      <c r="I437" s="47"/>
      <c r="J437" s="229"/>
      <c r="K437" s="28"/>
      <c r="L437" s="28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</row>
    <row r="438" spans="1:27" ht="18.75">
      <c r="A438" s="121"/>
      <c r="B438" s="20" t="str">
        <f t="shared" si="6"/>
        <v>6210</v>
      </c>
      <c r="C438" s="21"/>
      <c r="D438" s="63" t="s">
        <v>2763</v>
      </c>
      <c r="E438" s="21">
        <v>38</v>
      </c>
      <c r="F438" s="46" t="s">
        <v>2764</v>
      </c>
      <c r="G438" s="27"/>
      <c r="H438" s="47"/>
      <c r="I438" s="47"/>
      <c r="J438" s="229"/>
      <c r="K438" s="28"/>
      <c r="L438" s="28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</row>
    <row r="439" spans="1:27" ht="18.75">
      <c r="A439" s="121"/>
      <c r="B439" s="20" t="str">
        <f t="shared" si="6"/>
        <v>6630</v>
      </c>
      <c r="C439" s="21"/>
      <c r="D439" s="63" t="s">
        <v>2765</v>
      </c>
      <c r="E439" s="21">
        <v>38</v>
      </c>
      <c r="F439" s="46" t="s">
        <v>2766</v>
      </c>
      <c r="G439" s="27"/>
      <c r="H439" s="47"/>
      <c r="I439" s="47"/>
      <c r="J439" s="229"/>
      <c r="K439" s="28"/>
      <c r="L439" s="28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</row>
    <row r="440" spans="1:27" ht="18.75">
      <c r="A440" s="121"/>
      <c r="B440" s="20" t="str">
        <f t="shared" si="6"/>
        <v>6630</v>
      </c>
      <c r="C440" s="21"/>
      <c r="D440" s="63" t="s">
        <v>2767</v>
      </c>
      <c r="E440" s="21">
        <v>38</v>
      </c>
      <c r="F440" s="46" t="s">
        <v>2768</v>
      </c>
      <c r="G440" s="27"/>
      <c r="H440" s="47"/>
      <c r="I440" s="47"/>
      <c r="J440" s="229"/>
      <c r="K440" s="28"/>
      <c r="L440" s="28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</row>
    <row r="441" spans="1:27" ht="18.75">
      <c r="A441" s="121"/>
      <c r="B441" s="20" t="str">
        <f t="shared" si="6"/>
        <v>6630</v>
      </c>
      <c r="C441" s="21"/>
      <c r="D441" s="63" t="s">
        <v>2769</v>
      </c>
      <c r="E441" s="21">
        <v>38</v>
      </c>
      <c r="F441" s="46" t="s">
        <v>2770</v>
      </c>
      <c r="G441" s="27"/>
      <c r="H441" s="47"/>
      <c r="I441" s="47"/>
      <c r="J441" s="229"/>
      <c r="K441" s="28"/>
      <c r="L441" s="28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</row>
    <row r="442" spans="1:27" ht="18.75">
      <c r="A442" s="121"/>
      <c r="B442" s="20" t="str">
        <f t="shared" si="6"/>
        <v>6630</v>
      </c>
      <c r="C442" s="21"/>
      <c r="D442" s="63" t="s">
        <v>2765</v>
      </c>
      <c r="E442" s="21">
        <v>38</v>
      </c>
      <c r="F442" s="46" t="s">
        <v>2771</v>
      </c>
      <c r="G442" s="27"/>
      <c r="H442" s="47"/>
      <c r="I442" s="47"/>
      <c r="J442" s="229"/>
      <c r="K442" s="28"/>
      <c r="L442" s="28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</row>
    <row r="443" spans="1:27" ht="18.75">
      <c r="A443" s="121"/>
      <c r="B443" s="20" t="str">
        <f t="shared" si="6"/>
        <v>6680</v>
      </c>
      <c r="C443" s="21"/>
      <c r="D443" s="63" t="s">
        <v>2772</v>
      </c>
      <c r="E443" s="21">
        <v>38</v>
      </c>
      <c r="F443" s="46" t="s">
        <v>2773</v>
      </c>
      <c r="G443" s="27"/>
      <c r="H443" s="47"/>
      <c r="I443" s="47"/>
      <c r="J443" s="229"/>
      <c r="K443" s="28"/>
      <c r="L443" s="28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</row>
    <row r="444" spans="1:27" ht="18.75">
      <c r="A444" s="121"/>
      <c r="B444" s="20" t="str">
        <f t="shared" si="6"/>
        <v>6680</v>
      </c>
      <c r="C444" s="21"/>
      <c r="D444" s="63" t="s">
        <v>2774</v>
      </c>
      <c r="E444" s="21">
        <v>38</v>
      </c>
      <c r="F444" s="46" t="s">
        <v>2775</v>
      </c>
      <c r="G444" s="27"/>
      <c r="H444" s="47"/>
      <c r="I444" s="47"/>
      <c r="J444" s="229"/>
      <c r="K444" s="28"/>
      <c r="L444" s="28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</row>
    <row r="445" spans="1:27" ht="18.75">
      <c r="A445" s="121"/>
      <c r="B445" s="20" t="str">
        <f t="shared" si="6"/>
        <v>6680</v>
      </c>
      <c r="C445" s="21"/>
      <c r="D445" s="63" t="s">
        <v>2772</v>
      </c>
      <c r="E445" s="21">
        <v>38</v>
      </c>
      <c r="F445" s="46" t="s">
        <v>2776</v>
      </c>
      <c r="G445" s="27"/>
      <c r="H445" s="47"/>
      <c r="I445" s="47"/>
      <c r="J445" s="229"/>
      <c r="K445" s="28"/>
      <c r="L445" s="28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</row>
    <row r="446" spans="1:27" ht="18.75">
      <c r="A446" s="121"/>
      <c r="B446" s="20" t="str">
        <f t="shared" si="6"/>
        <v>6680</v>
      </c>
      <c r="C446" s="21"/>
      <c r="D446" s="63" t="s">
        <v>2777</v>
      </c>
      <c r="E446" s="21">
        <v>38</v>
      </c>
      <c r="F446" s="46" t="s">
        <v>2778</v>
      </c>
      <c r="G446" s="27"/>
      <c r="H446" s="47"/>
      <c r="I446" s="47"/>
      <c r="J446" s="229"/>
      <c r="K446" s="28"/>
      <c r="L446" s="28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</row>
    <row r="447" spans="1:27" ht="18.75">
      <c r="A447" s="121"/>
      <c r="B447" s="20" t="str">
        <f t="shared" si="6"/>
        <v>6680</v>
      </c>
      <c r="C447" s="21"/>
      <c r="D447" s="63" t="s">
        <v>2777</v>
      </c>
      <c r="E447" s="21">
        <v>38</v>
      </c>
      <c r="F447" s="46" t="s">
        <v>2779</v>
      </c>
      <c r="G447" s="27"/>
      <c r="H447" s="47"/>
      <c r="I447" s="47"/>
      <c r="J447" s="229"/>
      <c r="K447" s="28"/>
      <c r="L447" s="28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</row>
    <row r="448" spans="1:27" ht="37.5">
      <c r="A448" s="121"/>
      <c r="B448" s="20" t="str">
        <f t="shared" si="6"/>
        <v>6685</v>
      </c>
      <c r="C448" s="21"/>
      <c r="D448" s="63" t="s">
        <v>2780</v>
      </c>
      <c r="E448" s="21">
        <v>38</v>
      </c>
      <c r="F448" s="46" t="s">
        <v>2781</v>
      </c>
      <c r="G448" s="27"/>
      <c r="H448" s="47"/>
      <c r="I448" s="47"/>
      <c r="J448" s="229"/>
      <c r="K448" s="28"/>
      <c r="L448" s="28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</row>
    <row r="449" spans="1:27" ht="37.5">
      <c r="A449" s="121"/>
      <c r="B449" s="20" t="str">
        <f t="shared" si="6"/>
        <v>6685</v>
      </c>
      <c r="C449" s="21"/>
      <c r="D449" s="63" t="s">
        <v>2783</v>
      </c>
      <c r="E449" s="21">
        <v>38</v>
      </c>
      <c r="F449" s="46" t="s">
        <v>2784</v>
      </c>
      <c r="G449" s="27"/>
      <c r="H449" s="47"/>
      <c r="I449" s="47"/>
      <c r="J449" s="229"/>
      <c r="K449" s="28"/>
      <c r="L449" s="28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</row>
    <row r="450" spans="1:27" ht="18.75">
      <c r="A450" s="121"/>
      <c r="B450" s="20" t="str">
        <f t="shared" ref="B450:B513" si="7">LEFT(D450, SEARCH("",D450,4))</f>
        <v>6830</v>
      </c>
      <c r="C450" s="21"/>
      <c r="D450" s="63" t="s">
        <v>2788</v>
      </c>
      <c r="E450" s="21">
        <v>38</v>
      </c>
      <c r="F450" s="46" t="s">
        <v>2791</v>
      </c>
      <c r="G450" s="27"/>
      <c r="H450" s="47"/>
      <c r="I450" s="47"/>
      <c r="J450" s="229"/>
      <c r="K450" s="28"/>
      <c r="L450" s="28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</row>
    <row r="451" spans="1:27" ht="18.75">
      <c r="A451" s="121"/>
      <c r="B451" s="20" t="str">
        <f t="shared" si="7"/>
        <v>8110</v>
      </c>
      <c r="C451" s="21"/>
      <c r="D451" s="63" t="s">
        <v>2793</v>
      </c>
      <c r="E451" s="21">
        <v>38</v>
      </c>
      <c r="F451" s="46" t="s">
        <v>2794</v>
      </c>
      <c r="G451" s="27"/>
      <c r="H451" s="47"/>
      <c r="I451" s="47"/>
      <c r="J451" s="229"/>
      <c r="K451" s="28"/>
      <c r="L451" s="28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</row>
    <row r="452" spans="1:27" ht="18.75">
      <c r="A452" s="121"/>
      <c r="B452" s="20" t="str">
        <f t="shared" si="7"/>
        <v>8135</v>
      </c>
      <c r="C452" s="21"/>
      <c r="D452" s="63" t="s">
        <v>2795</v>
      </c>
      <c r="E452" s="21">
        <v>38</v>
      </c>
      <c r="F452" s="46" t="s">
        <v>2796</v>
      </c>
      <c r="G452" s="27"/>
      <c r="H452" s="47"/>
      <c r="I452" s="47"/>
      <c r="J452" s="229"/>
      <c r="K452" s="28"/>
      <c r="L452" s="28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</row>
    <row r="453" spans="1:27" ht="18.75">
      <c r="A453" s="121"/>
      <c r="B453" s="20" t="str">
        <f t="shared" si="7"/>
        <v>2320</v>
      </c>
      <c r="C453" s="21"/>
      <c r="D453" s="63" t="s">
        <v>2798</v>
      </c>
      <c r="E453" s="21">
        <v>39</v>
      </c>
      <c r="F453" s="46" t="s">
        <v>2800</v>
      </c>
      <c r="G453" s="27"/>
      <c r="H453" s="47"/>
      <c r="I453" s="47"/>
      <c r="J453" s="229"/>
      <c r="K453" s="28"/>
      <c r="L453" s="28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</row>
    <row r="454" spans="1:27" ht="18.75">
      <c r="A454" s="121"/>
      <c r="B454" s="20" t="str">
        <f t="shared" si="7"/>
        <v>2320</v>
      </c>
      <c r="C454" s="21"/>
      <c r="D454" s="63" t="s">
        <v>2801</v>
      </c>
      <c r="E454" s="21">
        <v>39</v>
      </c>
      <c r="F454" s="46" t="s">
        <v>2802</v>
      </c>
      <c r="G454" s="27"/>
      <c r="H454" s="47"/>
      <c r="I454" s="47"/>
      <c r="J454" s="229"/>
      <c r="K454" s="28"/>
      <c r="L454" s="28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</row>
    <row r="455" spans="1:27" ht="18.75">
      <c r="A455" s="121"/>
      <c r="B455" s="20" t="str">
        <f t="shared" si="7"/>
        <v>3413</v>
      </c>
      <c r="C455" s="21"/>
      <c r="D455" s="63" t="s">
        <v>2803</v>
      </c>
      <c r="E455" s="21">
        <v>39</v>
      </c>
      <c r="F455" s="46" t="s">
        <v>1930</v>
      </c>
      <c r="G455" s="27"/>
      <c r="H455" s="47"/>
      <c r="I455" s="47"/>
      <c r="J455" s="229"/>
      <c r="K455" s="28"/>
      <c r="L455" s="28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</row>
    <row r="456" spans="1:27" ht="18.75">
      <c r="A456" s="121"/>
      <c r="B456" s="20" t="str">
        <f t="shared" si="7"/>
        <v>3740</v>
      </c>
      <c r="C456" s="21"/>
      <c r="D456" s="63" t="s">
        <v>2804</v>
      </c>
      <c r="E456" s="21">
        <v>39</v>
      </c>
      <c r="F456" s="46" t="s">
        <v>2805</v>
      </c>
      <c r="G456" s="27"/>
      <c r="H456" s="47"/>
      <c r="I456" s="47"/>
      <c r="J456" s="229"/>
      <c r="K456" s="28"/>
      <c r="L456" s="28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</row>
    <row r="457" spans="1:27" ht="18.75">
      <c r="A457" s="121"/>
      <c r="B457" s="20" t="str">
        <f t="shared" si="7"/>
        <v>3740</v>
      </c>
      <c r="C457" s="21"/>
      <c r="D457" s="63" t="s">
        <v>2806</v>
      </c>
      <c r="E457" s="21">
        <v>39</v>
      </c>
      <c r="F457" s="46" t="s">
        <v>2807</v>
      </c>
      <c r="G457" s="27"/>
      <c r="H457" s="47"/>
      <c r="I457" s="47"/>
      <c r="J457" s="229"/>
      <c r="K457" s="28"/>
      <c r="L457" s="28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</row>
    <row r="458" spans="1:27" ht="37.5">
      <c r="A458" s="121"/>
      <c r="B458" s="20" t="str">
        <f t="shared" si="7"/>
        <v>3740</v>
      </c>
      <c r="C458" s="21"/>
      <c r="D458" s="63" t="s">
        <v>2809</v>
      </c>
      <c r="E458" s="21">
        <v>39</v>
      </c>
      <c r="F458" s="46" t="s">
        <v>2810</v>
      </c>
      <c r="G458" s="27"/>
      <c r="H458" s="47"/>
      <c r="I458" s="47"/>
      <c r="J458" s="229"/>
      <c r="K458" s="28"/>
      <c r="L458" s="28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</row>
    <row r="459" spans="1:27" ht="18.75">
      <c r="A459" s="121"/>
      <c r="B459" s="20" t="str">
        <f t="shared" si="7"/>
        <v>3750</v>
      </c>
      <c r="C459" s="21"/>
      <c r="D459" s="63" t="s">
        <v>2813</v>
      </c>
      <c r="E459" s="21">
        <v>39</v>
      </c>
      <c r="F459" s="46" t="s">
        <v>2814</v>
      </c>
      <c r="G459" s="27"/>
      <c r="H459" s="47"/>
      <c r="I459" s="47"/>
      <c r="J459" s="229"/>
      <c r="K459" s="28"/>
      <c r="L459" s="28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</row>
    <row r="460" spans="1:27" ht="18.75">
      <c r="A460" s="121"/>
      <c r="B460" s="20" t="str">
        <f t="shared" si="7"/>
        <v>3750</v>
      </c>
      <c r="C460" s="21"/>
      <c r="D460" s="63" t="s">
        <v>2815</v>
      </c>
      <c r="E460" s="21">
        <v>39</v>
      </c>
      <c r="F460" s="46" t="s">
        <v>2816</v>
      </c>
      <c r="G460" s="27"/>
      <c r="H460" s="47"/>
      <c r="I460" s="47"/>
      <c r="J460" s="229"/>
      <c r="K460" s="28"/>
      <c r="L460" s="28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</row>
    <row r="461" spans="1:27" ht="18.75">
      <c r="A461" s="121"/>
      <c r="B461" s="20" t="str">
        <f t="shared" si="7"/>
        <v>3895</v>
      </c>
      <c r="C461" s="21"/>
      <c r="D461" s="63" t="s">
        <v>2818</v>
      </c>
      <c r="E461" s="21">
        <v>39</v>
      </c>
      <c r="F461" s="46" t="s">
        <v>2819</v>
      </c>
      <c r="G461" s="27"/>
      <c r="H461" s="47"/>
      <c r="I461" s="47"/>
      <c r="J461" s="229"/>
      <c r="K461" s="28"/>
      <c r="L461" s="28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</row>
    <row r="462" spans="1:27" ht="18.75">
      <c r="A462" s="121"/>
      <c r="B462" s="20" t="str">
        <f t="shared" si="7"/>
        <v>3895</v>
      </c>
      <c r="C462" s="21"/>
      <c r="D462" s="63" t="s">
        <v>2822</v>
      </c>
      <c r="E462" s="21">
        <v>39</v>
      </c>
      <c r="F462" s="46" t="s">
        <v>2823</v>
      </c>
      <c r="G462" s="27"/>
      <c r="H462" s="47"/>
      <c r="I462" s="47"/>
      <c r="J462" s="229"/>
      <c r="K462" s="28"/>
      <c r="L462" s="28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</row>
    <row r="463" spans="1:27" ht="18.75">
      <c r="A463" s="121"/>
      <c r="B463" s="20" t="str">
        <f t="shared" si="7"/>
        <v>4140</v>
      </c>
      <c r="C463" s="21"/>
      <c r="D463" s="63" t="s">
        <v>2824</v>
      </c>
      <c r="E463" s="21">
        <v>39</v>
      </c>
      <c r="F463" s="46" t="s">
        <v>2825</v>
      </c>
      <c r="G463" s="27"/>
      <c r="H463" s="47"/>
      <c r="I463" s="47"/>
      <c r="J463" s="229"/>
      <c r="K463" s="28"/>
      <c r="L463" s="28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</row>
    <row r="464" spans="1:27" ht="18.75">
      <c r="A464" s="121"/>
      <c r="B464" s="20" t="str">
        <f t="shared" si="7"/>
        <v>4240</v>
      </c>
      <c r="C464" s="21"/>
      <c r="D464" s="63" t="s">
        <v>2827</v>
      </c>
      <c r="E464" s="21">
        <v>39</v>
      </c>
      <c r="F464" s="46" t="s">
        <v>2829</v>
      </c>
      <c r="G464" s="27"/>
      <c r="H464" s="47"/>
      <c r="I464" s="47"/>
      <c r="J464" s="229"/>
      <c r="K464" s="28"/>
      <c r="L464" s="28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</row>
    <row r="465" spans="1:27" ht="18.75">
      <c r="A465" s="121"/>
      <c r="B465" s="20" t="str">
        <f t="shared" si="7"/>
        <v>4310</v>
      </c>
      <c r="C465" s="21"/>
      <c r="D465" s="63" t="s">
        <v>2835</v>
      </c>
      <c r="E465" s="21">
        <v>39</v>
      </c>
      <c r="F465" s="46" t="s">
        <v>2836</v>
      </c>
      <c r="G465" s="27"/>
      <c r="H465" s="47"/>
      <c r="I465" s="47"/>
      <c r="J465" s="229"/>
      <c r="K465" s="28"/>
      <c r="L465" s="28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</row>
    <row r="466" spans="1:27" ht="37.5">
      <c r="A466" s="121"/>
      <c r="B466" s="20" t="str">
        <f t="shared" si="7"/>
        <v>4320</v>
      </c>
      <c r="C466" s="21"/>
      <c r="D466" s="63" t="s">
        <v>2837</v>
      </c>
      <c r="E466" s="21">
        <v>39</v>
      </c>
      <c r="F466" s="46" t="s">
        <v>2838</v>
      </c>
      <c r="G466" s="27"/>
      <c r="H466" s="47"/>
      <c r="I466" s="47"/>
      <c r="J466" s="229"/>
      <c r="K466" s="28"/>
      <c r="L466" s="28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</row>
    <row r="467" spans="1:27" ht="37.5">
      <c r="A467" s="121"/>
      <c r="B467" s="20" t="str">
        <f t="shared" si="7"/>
        <v>4320</v>
      </c>
      <c r="C467" s="21"/>
      <c r="D467" s="63" t="s">
        <v>2837</v>
      </c>
      <c r="E467" s="21">
        <v>39</v>
      </c>
      <c r="F467" s="46" t="s">
        <v>2839</v>
      </c>
      <c r="G467" s="27"/>
      <c r="H467" s="47"/>
      <c r="I467" s="47"/>
      <c r="J467" s="229"/>
      <c r="K467" s="28"/>
      <c r="L467" s="28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</row>
    <row r="468" spans="1:27" ht="37.5">
      <c r="A468" s="121"/>
      <c r="B468" s="20" t="str">
        <f t="shared" si="7"/>
        <v>4320</v>
      </c>
      <c r="C468" s="21"/>
      <c r="D468" s="63" t="s">
        <v>2840</v>
      </c>
      <c r="E468" s="21">
        <v>39</v>
      </c>
      <c r="F468" s="46" t="s">
        <v>2841</v>
      </c>
      <c r="G468" s="27"/>
      <c r="H468" s="47"/>
      <c r="I468" s="47"/>
      <c r="J468" s="229"/>
      <c r="K468" s="28"/>
      <c r="L468" s="28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</row>
    <row r="469" spans="1:27" ht="18.75">
      <c r="A469" s="121"/>
      <c r="B469" s="20" t="str">
        <f t="shared" si="7"/>
        <v>4440</v>
      </c>
      <c r="C469" s="21"/>
      <c r="D469" s="63" t="s">
        <v>2842</v>
      </c>
      <c r="E469" s="21">
        <v>39</v>
      </c>
      <c r="F469" s="46" t="s">
        <v>2843</v>
      </c>
      <c r="G469" s="27"/>
      <c r="H469" s="47">
        <v>11000</v>
      </c>
      <c r="I469" s="47"/>
      <c r="J469" s="229"/>
      <c r="K469" s="28"/>
      <c r="L469" s="28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</row>
    <row r="470" spans="1:27" ht="37.5">
      <c r="A470" s="121"/>
      <c r="B470" s="20" t="str">
        <f t="shared" si="7"/>
        <v>4460</v>
      </c>
      <c r="C470" s="21"/>
      <c r="D470" s="63" t="s">
        <v>2844</v>
      </c>
      <c r="E470" s="21">
        <v>39</v>
      </c>
      <c r="F470" s="46" t="s">
        <v>2845</v>
      </c>
      <c r="G470" s="27"/>
      <c r="H470" s="47"/>
      <c r="I470" s="47"/>
      <c r="J470" s="229"/>
      <c r="K470" s="28"/>
      <c r="L470" s="28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</row>
    <row r="471" spans="1:27" ht="18.75">
      <c r="A471" s="121"/>
      <c r="B471" s="20" t="str">
        <f t="shared" si="7"/>
        <v>4460</v>
      </c>
      <c r="C471" s="21"/>
      <c r="D471" s="63" t="s">
        <v>2846</v>
      </c>
      <c r="E471" s="21">
        <v>39</v>
      </c>
      <c r="F471" s="46" t="s">
        <v>2847</v>
      </c>
      <c r="G471" s="27"/>
      <c r="H471" s="47"/>
      <c r="I471" s="47"/>
      <c r="J471" s="229"/>
      <c r="K471" s="28"/>
      <c r="L471" s="28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</row>
    <row r="472" spans="1:27" ht="18.75">
      <c r="A472" s="121"/>
      <c r="B472" s="20" t="str">
        <f t="shared" si="7"/>
        <v>4610</v>
      </c>
      <c r="C472" s="21"/>
      <c r="D472" s="63" t="s">
        <v>2849</v>
      </c>
      <c r="E472" s="21">
        <v>39</v>
      </c>
      <c r="F472" s="46" t="s">
        <v>2313</v>
      </c>
      <c r="G472" s="27"/>
      <c r="H472" s="47"/>
      <c r="I472" s="47"/>
      <c r="J472" s="229"/>
      <c r="K472" s="28"/>
      <c r="L472" s="28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</row>
    <row r="473" spans="1:27" ht="18.75">
      <c r="A473" s="121"/>
      <c r="B473" s="20" t="str">
        <f t="shared" si="7"/>
        <v>4630</v>
      </c>
      <c r="C473" s="21"/>
      <c r="D473" s="63" t="s">
        <v>2850</v>
      </c>
      <c r="E473" s="21">
        <v>39</v>
      </c>
      <c r="F473" s="46" t="s">
        <v>959</v>
      </c>
      <c r="G473" s="27"/>
      <c r="H473" s="47"/>
      <c r="I473" s="47"/>
      <c r="J473" s="229"/>
      <c r="K473" s="28"/>
      <c r="L473" s="28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</row>
    <row r="474" spans="1:27" ht="18.75">
      <c r="A474" s="121"/>
      <c r="B474" s="20" t="str">
        <f t="shared" si="7"/>
        <v>4920</v>
      </c>
      <c r="C474" s="21"/>
      <c r="D474" s="63" t="s">
        <v>2851</v>
      </c>
      <c r="E474" s="21">
        <v>39</v>
      </c>
      <c r="F474" s="46" t="s">
        <v>2852</v>
      </c>
      <c r="G474" s="27"/>
      <c r="H474" s="47"/>
      <c r="I474" s="47"/>
      <c r="J474" s="229"/>
      <c r="K474" s="28"/>
      <c r="L474" s="28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</row>
    <row r="475" spans="1:27" ht="18.75">
      <c r="A475" s="121"/>
      <c r="B475" s="20" t="str">
        <f t="shared" si="7"/>
        <v>5130</v>
      </c>
      <c r="C475" s="21"/>
      <c r="D475" s="63" t="s">
        <v>2853</v>
      </c>
      <c r="E475" s="21">
        <v>39</v>
      </c>
      <c r="F475" s="46" t="s">
        <v>2854</v>
      </c>
      <c r="G475" s="27"/>
      <c r="H475" s="47"/>
      <c r="I475" s="47"/>
      <c r="J475" s="229"/>
      <c r="K475" s="28"/>
      <c r="L475" s="28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</row>
    <row r="476" spans="1:27" ht="18.75">
      <c r="A476" s="121"/>
      <c r="B476" s="20" t="str">
        <f t="shared" si="7"/>
        <v>5130</v>
      </c>
      <c r="C476" s="21"/>
      <c r="D476" s="63" t="s">
        <v>2855</v>
      </c>
      <c r="E476" s="21">
        <v>39</v>
      </c>
      <c r="F476" s="46" t="s">
        <v>2856</v>
      </c>
      <c r="G476" s="27"/>
      <c r="H476" s="47"/>
      <c r="I476" s="47"/>
      <c r="J476" s="229"/>
      <c r="K476" s="28"/>
      <c r="L476" s="28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</row>
    <row r="477" spans="1:27" ht="18.75">
      <c r="A477" s="121"/>
      <c r="B477" s="20" t="str">
        <f t="shared" si="7"/>
        <v>5130</v>
      </c>
      <c r="C477" s="21"/>
      <c r="D477" s="63" t="s">
        <v>2857</v>
      </c>
      <c r="E477" s="21">
        <v>39</v>
      </c>
      <c r="F477" s="46" t="s">
        <v>2858</v>
      </c>
      <c r="G477" s="27"/>
      <c r="H477" s="47"/>
      <c r="I477" s="47"/>
      <c r="J477" s="229"/>
      <c r="K477" s="28"/>
      <c r="L477" s="28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</row>
    <row r="478" spans="1:27" ht="18.75">
      <c r="A478" s="121"/>
      <c r="B478" s="20" t="str">
        <f t="shared" si="7"/>
        <v>5130</v>
      </c>
      <c r="C478" s="21"/>
      <c r="D478" s="63" t="s">
        <v>2860</v>
      </c>
      <c r="E478" s="21">
        <v>39</v>
      </c>
      <c r="F478" s="46" t="s">
        <v>2858</v>
      </c>
      <c r="G478" s="27"/>
      <c r="H478" s="47"/>
      <c r="I478" s="47"/>
      <c r="J478" s="229"/>
      <c r="K478" s="28"/>
      <c r="L478" s="28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</row>
    <row r="479" spans="1:27" ht="18.75">
      <c r="A479" s="121"/>
      <c r="B479" s="20" t="str">
        <f t="shared" si="7"/>
        <v>5130</v>
      </c>
      <c r="C479" s="21"/>
      <c r="D479" s="63" t="s">
        <v>2861</v>
      </c>
      <c r="E479" s="21">
        <v>39</v>
      </c>
      <c r="F479" s="46" t="s">
        <v>2862</v>
      </c>
      <c r="G479" s="27"/>
      <c r="H479" s="47"/>
      <c r="I479" s="47"/>
      <c r="J479" s="229"/>
      <c r="K479" s="28"/>
      <c r="L479" s="28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</row>
    <row r="480" spans="1:27" ht="18.75">
      <c r="A480" s="121"/>
      <c r="B480" s="20" t="str">
        <f t="shared" si="7"/>
        <v>5180</v>
      </c>
      <c r="C480" s="21"/>
      <c r="D480" s="63" t="s">
        <v>2863</v>
      </c>
      <c r="E480" s="21">
        <v>39</v>
      </c>
      <c r="F480" s="46" t="s">
        <v>2864</v>
      </c>
      <c r="G480" s="27"/>
      <c r="H480" s="47"/>
      <c r="I480" s="47"/>
      <c r="J480" s="229"/>
      <c r="K480" s="28"/>
      <c r="L480" s="28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</row>
    <row r="481" spans="1:27" ht="18.75">
      <c r="A481" s="121"/>
      <c r="B481" s="20" t="str">
        <f t="shared" si="7"/>
        <v>5440</v>
      </c>
      <c r="C481" s="21"/>
      <c r="D481" s="63" t="s">
        <v>2865</v>
      </c>
      <c r="E481" s="21">
        <v>39</v>
      </c>
      <c r="F481" s="46" t="s">
        <v>2866</v>
      </c>
      <c r="G481" s="27"/>
      <c r="H481" s="47"/>
      <c r="I481" s="47"/>
      <c r="J481" s="229"/>
      <c r="K481" s="28"/>
      <c r="L481" s="28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</row>
    <row r="482" spans="1:27" ht="37.5">
      <c r="A482" s="121"/>
      <c r="B482" s="20" t="str">
        <f t="shared" si="7"/>
        <v>6115</v>
      </c>
      <c r="C482" s="21"/>
      <c r="D482" s="63" t="s">
        <v>2867</v>
      </c>
      <c r="E482" s="21">
        <v>39</v>
      </c>
      <c r="F482" s="46" t="s">
        <v>2868</v>
      </c>
      <c r="G482" s="27"/>
      <c r="H482" s="47"/>
      <c r="I482" s="47"/>
      <c r="J482" s="229"/>
      <c r="K482" s="28"/>
      <c r="L482" s="28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</row>
    <row r="483" spans="1:27" ht="37.5">
      <c r="A483" s="121"/>
      <c r="B483" s="20" t="str">
        <f t="shared" si="7"/>
        <v>6115</v>
      </c>
      <c r="C483" s="21"/>
      <c r="D483" s="63" t="s">
        <v>2869</v>
      </c>
      <c r="E483" s="21">
        <v>39</v>
      </c>
      <c r="F483" s="46" t="s">
        <v>2870</v>
      </c>
      <c r="G483" s="27"/>
      <c r="H483" s="47"/>
      <c r="I483" s="47"/>
      <c r="J483" s="229"/>
      <c r="K483" s="28"/>
      <c r="L483" s="28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</row>
    <row r="484" spans="1:27" ht="37.5">
      <c r="A484" s="121"/>
      <c r="B484" s="20" t="str">
        <f t="shared" si="7"/>
        <v>6115</v>
      </c>
      <c r="C484" s="21"/>
      <c r="D484" s="63" t="s">
        <v>2871</v>
      </c>
      <c r="E484" s="21">
        <v>39</v>
      </c>
      <c r="F484" s="46" t="s">
        <v>2872</v>
      </c>
      <c r="G484" s="27"/>
      <c r="H484" s="47"/>
      <c r="I484" s="47"/>
      <c r="J484" s="229"/>
      <c r="K484" s="28"/>
      <c r="L484" s="28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</row>
    <row r="485" spans="1:27" ht="37.5">
      <c r="A485" s="121"/>
      <c r="B485" s="20" t="str">
        <f t="shared" si="7"/>
        <v>6115</v>
      </c>
      <c r="C485" s="21"/>
      <c r="D485" s="63" t="s">
        <v>2873</v>
      </c>
      <c r="E485" s="21">
        <v>39</v>
      </c>
      <c r="F485" s="46" t="s">
        <v>2874</v>
      </c>
      <c r="G485" s="27"/>
      <c r="H485" s="47"/>
      <c r="I485" s="47"/>
      <c r="J485" s="229"/>
      <c r="K485" s="28"/>
      <c r="L485" s="28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</row>
    <row r="486" spans="1:27" ht="37.5">
      <c r="A486" s="121"/>
      <c r="B486" s="20" t="str">
        <f t="shared" si="7"/>
        <v>6115</v>
      </c>
      <c r="C486" s="21"/>
      <c r="D486" s="63" t="s">
        <v>2875</v>
      </c>
      <c r="E486" s="21">
        <v>39</v>
      </c>
      <c r="F486" s="46" t="s">
        <v>2876</v>
      </c>
      <c r="G486" s="27"/>
      <c r="H486" s="47"/>
      <c r="I486" s="47"/>
      <c r="J486" s="229"/>
      <c r="K486" s="28"/>
      <c r="L486" s="28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</row>
    <row r="487" spans="1:27" ht="37.5">
      <c r="A487" s="121"/>
      <c r="B487" s="20" t="str">
        <f t="shared" si="7"/>
        <v>6115</v>
      </c>
      <c r="C487" s="21"/>
      <c r="D487" s="63" t="s">
        <v>2877</v>
      </c>
      <c r="E487" s="21">
        <v>39</v>
      </c>
      <c r="F487" s="46" t="s">
        <v>2878</v>
      </c>
      <c r="G487" s="27"/>
      <c r="H487" s="47"/>
      <c r="I487" s="47"/>
      <c r="J487" s="229"/>
      <c r="K487" s="28"/>
      <c r="L487" s="28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</row>
    <row r="488" spans="1:27" ht="37.5">
      <c r="A488" s="121"/>
      <c r="B488" s="20" t="str">
        <f t="shared" si="7"/>
        <v>6115</v>
      </c>
      <c r="C488" s="21"/>
      <c r="D488" s="63" t="s">
        <v>2879</v>
      </c>
      <c r="E488" s="21">
        <v>39</v>
      </c>
      <c r="F488" s="46" t="s">
        <v>2880</v>
      </c>
      <c r="G488" s="27"/>
      <c r="H488" s="47"/>
      <c r="I488" s="47"/>
      <c r="J488" s="229"/>
      <c r="K488" s="28"/>
      <c r="L488" s="28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</row>
    <row r="489" spans="1:27" ht="37.5">
      <c r="A489" s="121"/>
      <c r="B489" s="20" t="str">
        <f t="shared" si="7"/>
        <v>6115</v>
      </c>
      <c r="C489" s="21"/>
      <c r="D489" s="63" t="s">
        <v>2881</v>
      </c>
      <c r="E489" s="21">
        <v>39</v>
      </c>
      <c r="F489" s="46" t="s">
        <v>2882</v>
      </c>
      <c r="G489" s="27"/>
      <c r="H489" s="47"/>
      <c r="I489" s="47"/>
      <c r="J489" s="229"/>
      <c r="K489" s="28"/>
      <c r="L489" s="28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</row>
    <row r="490" spans="1:27" ht="18.75">
      <c r="A490" s="121"/>
      <c r="B490" s="20" t="str">
        <f t="shared" si="7"/>
        <v>6150</v>
      </c>
      <c r="C490" s="21"/>
      <c r="D490" s="63" t="s">
        <v>2883</v>
      </c>
      <c r="E490" s="21">
        <v>39</v>
      </c>
      <c r="F490" s="46" t="s">
        <v>2884</v>
      </c>
      <c r="G490" s="27"/>
      <c r="H490" s="47"/>
      <c r="I490" s="47"/>
      <c r="J490" s="229"/>
      <c r="K490" s="28"/>
      <c r="L490" s="28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</row>
    <row r="491" spans="1:27" ht="18.75">
      <c r="A491" s="121"/>
      <c r="B491" s="20" t="str">
        <f t="shared" si="7"/>
        <v>6210</v>
      </c>
      <c r="C491" s="21"/>
      <c r="D491" s="63" t="s">
        <v>2885</v>
      </c>
      <c r="E491" s="21">
        <v>39</v>
      </c>
      <c r="F491" s="46" t="s">
        <v>2886</v>
      </c>
      <c r="G491" s="27"/>
      <c r="H491" s="47"/>
      <c r="I491" s="47"/>
      <c r="J491" s="229"/>
      <c r="K491" s="28"/>
      <c r="L491" s="28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</row>
    <row r="492" spans="1:27" ht="18.75">
      <c r="A492" s="121"/>
      <c r="B492" s="20" t="str">
        <f t="shared" si="7"/>
        <v>6620</v>
      </c>
      <c r="C492" s="21"/>
      <c r="D492" s="63" t="s">
        <v>2887</v>
      </c>
      <c r="E492" s="21">
        <v>39</v>
      </c>
      <c r="F492" s="46" t="s">
        <v>2888</v>
      </c>
      <c r="G492" s="27"/>
      <c r="H492" s="47"/>
      <c r="I492" s="47"/>
      <c r="J492" s="229"/>
      <c r="K492" s="28"/>
      <c r="L492" s="28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</row>
    <row r="493" spans="1:27" ht="18.75">
      <c r="A493" s="121"/>
      <c r="B493" s="20" t="str">
        <f t="shared" si="7"/>
        <v>6620</v>
      </c>
      <c r="C493" s="21"/>
      <c r="D493" s="63" t="s">
        <v>2889</v>
      </c>
      <c r="E493" s="21">
        <v>39</v>
      </c>
      <c r="F493" s="46" t="s">
        <v>2890</v>
      </c>
      <c r="G493" s="27"/>
      <c r="H493" s="47"/>
      <c r="I493" s="47"/>
      <c r="J493" s="229"/>
      <c r="K493" s="28"/>
      <c r="L493" s="28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</row>
    <row r="494" spans="1:27" ht="18.75">
      <c r="A494" s="121"/>
      <c r="B494" s="20" t="str">
        <f t="shared" si="7"/>
        <v>6635</v>
      </c>
      <c r="C494" s="21"/>
      <c r="D494" s="63" t="s">
        <v>2891</v>
      </c>
      <c r="E494" s="21">
        <v>39</v>
      </c>
      <c r="F494" s="46" t="s">
        <v>2892</v>
      </c>
      <c r="G494" s="27"/>
      <c r="H494" s="47"/>
      <c r="I494" s="47"/>
      <c r="J494" s="229"/>
      <c r="K494" s="28"/>
      <c r="L494" s="28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</row>
    <row r="495" spans="1:27" ht="18.75">
      <c r="A495" s="121"/>
      <c r="B495" s="20" t="str">
        <f t="shared" si="7"/>
        <v>6685</v>
      </c>
      <c r="C495" s="21"/>
      <c r="D495" s="63" t="s">
        <v>2893</v>
      </c>
      <c r="E495" s="21">
        <v>39</v>
      </c>
      <c r="F495" s="46" t="s">
        <v>2894</v>
      </c>
      <c r="G495" s="27"/>
      <c r="H495" s="47"/>
      <c r="I495" s="47"/>
      <c r="J495" s="229"/>
      <c r="K495" s="28"/>
      <c r="L495" s="28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</row>
    <row r="496" spans="1:27" ht="18.75">
      <c r="A496" s="121"/>
      <c r="B496" s="20" t="str">
        <f t="shared" si="7"/>
        <v>2320</v>
      </c>
      <c r="C496" s="21"/>
      <c r="D496" s="63" t="s">
        <v>2895</v>
      </c>
      <c r="E496" s="21">
        <v>40</v>
      </c>
      <c r="F496" s="46" t="s">
        <v>2896</v>
      </c>
      <c r="G496" s="27"/>
      <c r="H496" s="47"/>
      <c r="I496" s="47"/>
      <c r="J496" s="229"/>
      <c r="K496" s="28"/>
      <c r="L496" s="28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</row>
    <row r="497" spans="1:27" ht="18.75">
      <c r="A497" s="121"/>
      <c r="B497" s="20" t="str">
        <f t="shared" si="7"/>
        <v>2320</v>
      </c>
      <c r="C497" s="21"/>
      <c r="D497" s="63" t="s">
        <v>2897</v>
      </c>
      <c r="E497" s="21">
        <v>40</v>
      </c>
      <c r="F497" s="46" t="s">
        <v>2898</v>
      </c>
      <c r="G497" s="27"/>
      <c r="H497" s="47"/>
      <c r="I497" s="47"/>
      <c r="J497" s="229"/>
      <c r="K497" s="28"/>
      <c r="L497" s="28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</row>
    <row r="498" spans="1:27" ht="18.75">
      <c r="A498" s="121"/>
      <c r="B498" s="20" t="str">
        <f t="shared" si="7"/>
        <v>2320</v>
      </c>
      <c r="C498" s="21"/>
      <c r="D498" s="63" t="s">
        <v>2899</v>
      </c>
      <c r="E498" s="21">
        <v>40</v>
      </c>
      <c r="F498" s="46" t="s">
        <v>2044</v>
      </c>
      <c r="G498" s="27"/>
      <c r="H498" s="47"/>
      <c r="I498" s="47"/>
      <c r="J498" s="229"/>
      <c r="K498" s="28"/>
      <c r="L498" s="28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</row>
    <row r="499" spans="1:27" ht="18.75">
      <c r="A499" s="121"/>
      <c r="B499" s="20" t="str">
        <f t="shared" si="7"/>
        <v>2320</v>
      </c>
      <c r="C499" s="21"/>
      <c r="D499" s="63" t="s">
        <v>2900</v>
      </c>
      <c r="E499" s="21">
        <v>40</v>
      </c>
      <c r="F499" s="46" t="s">
        <v>2364</v>
      </c>
      <c r="G499" s="27"/>
      <c r="H499" s="47"/>
      <c r="I499" s="47"/>
      <c r="J499" s="229"/>
      <c r="K499" s="28"/>
      <c r="L499" s="28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</row>
    <row r="500" spans="1:27" ht="18.75">
      <c r="A500" s="121"/>
      <c r="B500" s="20" t="str">
        <f t="shared" si="7"/>
        <v>3405</v>
      </c>
      <c r="C500" s="21"/>
      <c r="D500" s="63" t="s">
        <v>2901</v>
      </c>
      <c r="E500" s="21">
        <v>40</v>
      </c>
      <c r="F500" s="46" t="s">
        <v>2902</v>
      </c>
      <c r="G500" s="27"/>
      <c r="H500" s="47"/>
      <c r="I500" s="47"/>
      <c r="J500" s="229"/>
      <c r="K500" s="28"/>
      <c r="L500" s="28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</row>
    <row r="501" spans="1:27" ht="18.75">
      <c r="A501" s="121"/>
      <c r="B501" s="20" t="str">
        <f t="shared" si="7"/>
        <v>3416</v>
      </c>
      <c r="C501" s="21"/>
      <c r="D501" s="63" t="s">
        <v>2903</v>
      </c>
      <c r="E501" s="21">
        <v>40</v>
      </c>
      <c r="F501" s="46" t="s">
        <v>2904</v>
      </c>
      <c r="G501" s="27"/>
      <c r="H501" s="47"/>
      <c r="I501" s="47"/>
      <c r="J501" s="229"/>
      <c r="K501" s="28"/>
      <c r="L501" s="28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</row>
    <row r="502" spans="1:27" ht="18.75">
      <c r="A502" s="121"/>
      <c r="B502" s="20" t="str">
        <f t="shared" si="7"/>
        <v>3431</v>
      </c>
      <c r="C502" s="21"/>
      <c r="D502" s="63" t="s">
        <v>2905</v>
      </c>
      <c r="E502" s="21">
        <v>40</v>
      </c>
      <c r="F502" s="46" t="s">
        <v>2561</v>
      </c>
      <c r="G502" s="27"/>
      <c r="H502" s="47"/>
      <c r="I502" s="47"/>
      <c r="J502" s="229"/>
      <c r="K502" s="28"/>
      <c r="L502" s="28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</row>
    <row r="503" spans="1:27" ht="18.75">
      <c r="A503" s="121"/>
      <c r="B503" s="20" t="str">
        <f t="shared" si="7"/>
        <v>3431</v>
      </c>
      <c r="C503" s="21"/>
      <c r="D503" s="63" t="s">
        <v>2906</v>
      </c>
      <c r="E503" s="21">
        <v>40</v>
      </c>
      <c r="F503" s="46" t="s">
        <v>2907</v>
      </c>
      <c r="G503" s="27"/>
      <c r="H503" s="47"/>
      <c r="I503" s="47"/>
      <c r="J503" s="229"/>
      <c r="K503" s="28"/>
      <c r="L503" s="28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</row>
    <row r="504" spans="1:27" ht="18.75">
      <c r="A504" s="121"/>
      <c r="B504" s="20" t="str">
        <f t="shared" si="7"/>
        <v>3438</v>
      </c>
      <c r="C504" s="21"/>
      <c r="D504" s="63" t="s">
        <v>2908</v>
      </c>
      <c r="E504" s="21">
        <v>40</v>
      </c>
      <c r="F504" s="46" t="s">
        <v>2909</v>
      </c>
      <c r="G504" s="27"/>
      <c r="H504" s="47"/>
      <c r="I504" s="47"/>
      <c r="J504" s="229"/>
      <c r="K504" s="28"/>
      <c r="L504" s="28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</row>
    <row r="505" spans="1:27" ht="18.75">
      <c r="A505" s="121"/>
      <c r="B505" s="20" t="str">
        <f t="shared" si="7"/>
        <v>3740</v>
      </c>
      <c r="C505" s="21"/>
      <c r="D505" s="63" t="s">
        <v>2910</v>
      </c>
      <c r="E505" s="21">
        <v>40</v>
      </c>
      <c r="F505" s="46" t="s">
        <v>2911</v>
      </c>
      <c r="G505" s="27"/>
      <c r="H505" s="47"/>
      <c r="I505" s="47"/>
      <c r="J505" s="229"/>
      <c r="K505" s="28"/>
      <c r="L505" s="28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</row>
    <row r="506" spans="1:27" ht="18.75">
      <c r="A506" s="121"/>
      <c r="B506" s="20" t="str">
        <f t="shared" si="7"/>
        <v>3750</v>
      </c>
      <c r="C506" s="21"/>
      <c r="D506" s="63" t="s">
        <v>2912</v>
      </c>
      <c r="E506" s="21">
        <v>40</v>
      </c>
      <c r="F506" s="46" t="s">
        <v>2913</v>
      </c>
      <c r="G506" s="27"/>
      <c r="H506" s="47"/>
      <c r="I506" s="47"/>
      <c r="J506" s="229"/>
      <c r="K506" s="28"/>
      <c r="L506" s="28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</row>
    <row r="507" spans="1:27" ht="18.75">
      <c r="A507" s="121"/>
      <c r="B507" s="20" t="str">
        <f t="shared" si="7"/>
        <v>3750</v>
      </c>
      <c r="C507" s="21"/>
      <c r="D507" s="63" t="s">
        <v>2914</v>
      </c>
      <c r="E507" s="21">
        <v>40</v>
      </c>
      <c r="F507" s="46" t="s">
        <v>2913</v>
      </c>
      <c r="G507" s="27"/>
      <c r="H507" s="47"/>
      <c r="I507" s="47"/>
      <c r="J507" s="229"/>
      <c r="K507" s="28"/>
      <c r="L507" s="28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</row>
    <row r="508" spans="1:27" ht="18.75">
      <c r="A508" s="121"/>
      <c r="B508" s="20" t="str">
        <f t="shared" si="7"/>
        <v>3750</v>
      </c>
      <c r="C508" s="21"/>
      <c r="D508" s="63" t="s">
        <v>2915</v>
      </c>
      <c r="E508" s="21">
        <v>40</v>
      </c>
      <c r="F508" s="46" t="s">
        <v>2916</v>
      </c>
      <c r="G508" s="27"/>
      <c r="H508" s="47"/>
      <c r="I508" s="47"/>
      <c r="J508" s="229"/>
      <c r="K508" s="28"/>
      <c r="L508" s="28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</row>
    <row r="509" spans="1:27" ht="18.75">
      <c r="A509" s="121"/>
      <c r="B509" s="20" t="str">
        <f t="shared" si="7"/>
        <v>3750</v>
      </c>
      <c r="C509" s="21"/>
      <c r="D509" s="63" t="s">
        <v>2917</v>
      </c>
      <c r="E509" s="21">
        <v>40</v>
      </c>
      <c r="F509" s="46" t="s">
        <v>2918</v>
      </c>
      <c r="G509" s="27"/>
      <c r="H509" s="47"/>
      <c r="I509" s="47"/>
      <c r="J509" s="229"/>
      <c r="K509" s="28"/>
      <c r="L509" s="28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</row>
    <row r="510" spans="1:27" ht="18.75">
      <c r="A510" s="121"/>
      <c r="B510" s="20" t="str">
        <f t="shared" si="7"/>
        <v>3805</v>
      </c>
      <c r="C510" s="21"/>
      <c r="D510" s="63" t="s">
        <v>2919</v>
      </c>
      <c r="E510" s="21">
        <v>40</v>
      </c>
      <c r="F510" s="46" t="s">
        <v>2920</v>
      </c>
      <c r="G510" s="27"/>
      <c r="H510" s="47"/>
      <c r="I510" s="47"/>
      <c r="J510" s="229"/>
      <c r="K510" s="28"/>
      <c r="L510" s="28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</row>
    <row r="511" spans="1:27" ht="18.75">
      <c r="A511" s="121"/>
      <c r="B511" s="20" t="str">
        <f t="shared" si="7"/>
        <v>3805</v>
      </c>
      <c r="C511" s="21"/>
      <c r="D511" s="63" t="s">
        <v>2921</v>
      </c>
      <c r="E511" s="21">
        <v>40</v>
      </c>
      <c r="F511" s="46" t="s">
        <v>2922</v>
      </c>
      <c r="G511" s="27"/>
      <c r="H511" s="47"/>
      <c r="I511" s="47"/>
      <c r="J511" s="229"/>
      <c r="K511" s="28"/>
      <c r="L511" s="28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</row>
    <row r="512" spans="1:27" ht="18.75">
      <c r="A512" s="121"/>
      <c r="B512" s="20" t="str">
        <f t="shared" si="7"/>
        <v>3805</v>
      </c>
      <c r="C512" s="21"/>
      <c r="D512" s="63" t="s">
        <v>2923</v>
      </c>
      <c r="E512" s="21">
        <v>40</v>
      </c>
      <c r="F512" s="46" t="s">
        <v>2924</v>
      </c>
      <c r="G512" s="27"/>
      <c r="H512" s="47"/>
      <c r="I512" s="47"/>
      <c r="J512" s="229"/>
      <c r="K512" s="28"/>
      <c r="L512" s="28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</row>
    <row r="513" spans="1:27" ht="18.75">
      <c r="A513" s="121"/>
      <c r="B513" s="20" t="str">
        <f t="shared" si="7"/>
        <v>3805</v>
      </c>
      <c r="C513" s="21"/>
      <c r="D513" s="63" t="s">
        <v>2925</v>
      </c>
      <c r="E513" s="21">
        <v>40</v>
      </c>
      <c r="F513" s="46" t="s">
        <v>2924</v>
      </c>
      <c r="G513" s="27"/>
      <c r="H513" s="47"/>
      <c r="I513" s="47"/>
      <c r="J513" s="229"/>
      <c r="K513" s="28"/>
      <c r="L513" s="28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</row>
    <row r="514" spans="1:27" ht="18.75">
      <c r="A514" s="121"/>
      <c r="B514" s="20" t="str">
        <f t="shared" ref="B514:B577" si="8">LEFT(D514, SEARCH("",D514,4))</f>
        <v>3825</v>
      </c>
      <c r="C514" s="21"/>
      <c r="D514" s="63" t="s">
        <v>2926</v>
      </c>
      <c r="E514" s="21">
        <v>40</v>
      </c>
      <c r="F514" s="46" t="s">
        <v>2927</v>
      </c>
      <c r="G514" s="27"/>
      <c r="H514" s="47"/>
      <c r="I514" s="47"/>
      <c r="J514" s="229"/>
      <c r="K514" s="28"/>
      <c r="L514" s="28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</row>
    <row r="515" spans="1:27" ht="18.75">
      <c r="A515" s="121"/>
      <c r="B515" s="20" t="str">
        <f t="shared" si="8"/>
        <v>3825</v>
      </c>
      <c r="C515" s="21"/>
      <c r="D515" s="63" t="s">
        <v>2928</v>
      </c>
      <c r="E515" s="21">
        <v>40</v>
      </c>
      <c r="F515" s="46" t="s">
        <v>2929</v>
      </c>
      <c r="G515" s="27"/>
      <c r="H515" s="47"/>
      <c r="I515" s="47"/>
      <c r="J515" s="229"/>
      <c r="K515" s="28"/>
      <c r="L515" s="28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</row>
    <row r="516" spans="1:27" ht="18.75">
      <c r="A516" s="121"/>
      <c r="B516" s="20" t="str">
        <f t="shared" si="8"/>
        <v>3895</v>
      </c>
      <c r="C516" s="21"/>
      <c r="D516" s="63" t="s">
        <v>2930</v>
      </c>
      <c r="E516" s="21">
        <v>40</v>
      </c>
      <c r="F516" s="46" t="s">
        <v>494</v>
      </c>
      <c r="G516" s="27"/>
      <c r="H516" s="47"/>
      <c r="I516" s="47"/>
      <c r="J516" s="229"/>
      <c r="K516" s="28"/>
      <c r="L516" s="28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</row>
    <row r="517" spans="1:27" ht="18.75">
      <c r="A517" s="121"/>
      <c r="B517" s="20" t="str">
        <f t="shared" si="8"/>
        <v>3895</v>
      </c>
      <c r="C517" s="21"/>
      <c r="D517" s="63" t="s">
        <v>2931</v>
      </c>
      <c r="E517" s="21">
        <v>40</v>
      </c>
      <c r="F517" s="46" t="s">
        <v>2823</v>
      </c>
      <c r="G517" s="27"/>
      <c r="H517" s="47"/>
      <c r="I517" s="47"/>
      <c r="J517" s="229"/>
      <c r="K517" s="28"/>
      <c r="L517" s="28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</row>
    <row r="518" spans="1:27" ht="18.75">
      <c r="A518" s="121"/>
      <c r="B518" s="20" t="str">
        <f t="shared" si="8"/>
        <v>3895</v>
      </c>
      <c r="C518" s="21"/>
      <c r="D518" s="63" t="s">
        <v>2932</v>
      </c>
      <c r="E518" s="21">
        <v>40</v>
      </c>
      <c r="F518" s="46" t="s">
        <v>2933</v>
      </c>
      <c r="G518" s="27"/>
      <c r="H518" s="47"/>
      <c r="I518" s="47"/>
      <c r="J518" s="229"/>
      <c r="K518" s="28"/>
      <c r="L518" s="28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</row>
    <row r="519" spans="1:27" ht="18.75">
      <c r="A519" s="121"/>
      <c r="B519" s="20" t="str">
        <f t="shared" si="8"/>
        <v>3920</v>
      </c>
      <c r="C519" s="21"/>
      <c r="D519" s="63" t="s">
        <v>2934</v>
      </c>
      <c r="E519" s="21">
        <v>40</v>
      </c>
      <c r="F519" s="46" t="s">
        <v>2935</v>
      </c>
      <c r="G519" s="27"/>
      <c r="H519" s="47"/>
      <c r="I519" s="47"/>
      <c r="J519" s="229"/>
      <c r="K519" s="28"/>
      <c r="L519" s="28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</row>
    <row r="520" spans="1:27" ht="18.75">
      <c r="A520" s="121"/>
      <c r="B520" s="20" t="str">
        <f t="shared" si="8"/>
        <v>3930</v>
      </c>
      <c r="C520" s="21"/>
      <c r="D520" s="63" t="s">
        <v>2936</v>
      </c>
      <c r="E520" s="21">
        <v>40</v>
      </c>
      <c r="F520" s="46" t="s">
        <v>2937</v>
      </c>
      <c r="G520" s="27"/>
      <c r="H520" s="47"/>
      <c r="I520" s="47"/>
      <c r="J520" s="229"/>
      <c r="K520" s="28"/>
      <c r="L520" s="28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</row>
    <row r="521" spans="1:27" ht="18.75">
      <c r="A521" s="121"/>
      <c r="B521" s="20" t="str">
        <f t="shared" si="8"/>
        <v>3930</v>
      </c>
      <c r="C521" s="21"/>
      <c r="D521" s="63" t="s">
        <v>2938</v>
      </c>
      <c r="E521" s="21">
        <v>40</v>
      </c>
      <c r="F521" s="46" t="s">
        <v>2939</v>
      </c>
      <c r="G521" s="27"/>
      <c r="H521" s="47"/>
      <c r="I521" s="47"/>
      <c r="J521" s="229"/>
      <c r="K521" s="28"/>
      <c r="L521" s="28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</row>
    <row r="522" spans="1:27" ht="18.75">
      <c r="A522" s="121"/>
      <c r="B522" s="20" t="str">
        <f t="shared" si="8"/>
        <v>3930</v>
      </c>
      <c r="C522" s="21"/>
      <c r="D522" s="63" t="s">
        <v>2940</v>
      </c>
      <c r="E522" s="21">
        <v>40</v>
      </c>
      <c r="F522" s="46" t="s">
        <v>2941</v>
      </c>
      <c r="G522" s="27"/>
      <c r="H522" s="47"/>
      <c r="I522" s="47"/>
      <c r="J522" s="229"/>
      <c r="K522" s="28"/>
      <c r="L522" s="28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</row>
    <row r="523" spans="1:27" ht="18.75">
      <c r="A523" s="121"/>
      <c r="B523" s="20" t="str">
        <f t="shared" si="8"/>
        <v>3930</v>
      </c>
      <c r="C523" s="21"/>
      <c r="D523" s="63" t="s">
        <v>2942</v>
      </c>
      <c r="E523" s="21">
        <v>40</v>
      </c>
      <c r="F523" s="46" t="s">
        <v>2943</v>
      </c>
      <c r="G523" s="27"/>
      <c r="H523" s="47"/>
      <c r="I523" s="47"/>
      <c r="J523" s="229"/>
      <c r="K523" s="28"/>
      <c r="L523" s="28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</row>
    <row r="524" spans="1:27" ht="18.75">
      <c r="A524" s="121"/>
      <c r="B524" s="20" t="str">
        <f t="shared" si="8"/>
        <v>3940</v>
      </c>
      <c r="C524" s="21"/>
      <c r="D524" s="63" t="s">
        <v>2944</v>
      </c>
      <c r="E524" s="21">
        <v>40</v>
      </c>
      <c r="F524" s="46" t="s">
        <v>2945</v>
      </c>
      <c r="G524" s="27"/>
      <c r="H524" s="47"/>
      <c r="I524" s="47"/>
      <c r="J524" s="229"/>
      <c r="K524" s="28"/>
      <c r="L524" s="28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</row>
    <row r="525" spans="1:27" ht="18.75">
      <c r="A525" s="121"/>
      <c r="B525" s="20" t="str">
        <f t="shared" si="8"/>
        <v>3940</v>
      </c>
      <c r="C525" s="21"/>
      <c r="D525" s="63" t="s">
        <v>2946</v>
      </c>
      <c r="E525" s="21">
        <v>40</v>
      </c>
      <c r="F525" s="46" t="s">
        <v>2947</v>
      </c>
      <c r="G525" s="27"/>
      <c r="H525" s="47"/>
      <c r="I525" s="47"/>
      <c r="J525" s="229"/>
      <c r="K525" s="28"/>
      <c r="L525" s="28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</row>
    <row r="526" spans="1:27" ht="37.5">
      <c r="A526" s="121"/>
      <c r="B526" s="20" t="str">
        <f t="shared" si="8"/>
        <v>4120</v>
      </c>
      <c r="C526" s="21"/>
      <c r="D526" s="63" t="s">
        <v>2948</v>
      </c>
      <c r="E526" s="21">
        <v>40</v>
      </c>
      <c r="F526" s="46" t="s">
        <v>2949</v>
      </c>
      <c r="G526" s="27"/>
      <c r="H526" s="47"/>
      <c r="I526" s="47"/>
      <c r="J526" s="229"/>
      <c r="K526" s="28"/>
      <c r="L526" s="28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</row>
    <row r="527" spans="1:27" ht="18.75">
      <c r="A527" s="121"/>
      <c r="B527" s="20" t="str">
        <f t="shared" si="8"/>
        <v>4120</v>
      </c>
      <c r="C527" s="21"/>
      <c r="D527" s="63" t="s">
        <v>2950</v>
      </c>
      <c r="E527" s="21">
        <v>40</v>
      </c>
      <c r="F527" s="46" t="s">
        <v>2951</v>
      </c>
      <c r="G527" s="27"/>
      <c r="H527" s="47"/>
      <c r="I527" s="47"/>
      <c r="J527" s="229"/>
      <c r="K527" s="28"/>
      <c r="L527" s="28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</row>
    <row r="528" spans="1:27" ht="37.5">
      <c r="A528" s="121"/>
      <c r="B528" s="20" t="str">
        <f t="shared" si="8"/>
        <v>4120</v>
      </c>
      <c r="C528" s="21"/>
      <c r="D528" s="63" t="s">
        <v>2952</v>
      </c>
      <c r="E528" s="21">
        <v>40</v>
      </c>
      <c r="F528" s="46" t="s">
        <v>2953</v>
      </c>
      <c r="G528" s="27"/>
      <c r="H528" s="47">
        <v>28000</v>
      </c>
      <c r="I528" s="47"/>
      <c r="J528" s="229"/>
      <c r="K528" s="28"/>
      <c r="L528" s="28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</row>
    <row r="529" spans="1:27" ht="37.5">
      <c r="A529" s="121"/>
      <c r="B529" s="20" t="str">
        <f t="shared" si="8"/>
        <v>4120</v>
      </c>
      <c r="C529" s="21"/>
      <c r="D529" s="63" t="s">
        <v>2954</v>
      </c>
      <c r="E529" s="21">
        <v>40</v>
      </c>
      <c r="F529" s="46" t="s">
        <v>2955</v>
      </c>
      <c r="G529" s="27"/>
      <c r="H529" s="47"/>
      <c r="I529" s="47"/>
      <c r="J529" s="229"/>
      <c r="K529" s="28"/>
      <c r="L529" s="28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</row>
    <row r="530" spans="1:27" ht="18.75">
      <c r="A530" s="121"/>
      <c r="B530" s="20" t="str">
        <f t="shared" si="8"/>
        <v>4120</v>
      </c>
      <c r="C530" s="21"/>
      <c r="D530" s="63" t="s">
        <v>2956</v>
      </c>
      <c r="E530" s="21">
        <v>40</v>
      </c>
      <c r="F530" s="46" t="s">
        <v>2957</v>
      </c>
      <c r="G530" s="27"/>
      <c r="H530" s="47"/>
      <c r="I530" s="47"/>
      <c r="J530" s="229"/>
      <c r="K530" s="28"/>
      <c r="L530" s="28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</row>
    <row r="531" spans="1:27" ht="18.75">
      <c r="A531" s="121"/>
      <c r="B531" s="20" t="str">
        <f t="shared" si="8"/>
        <v>4120</v>
      </c>
      <c r="C531" s="21"/>
      <c r="D531" s="63" t="s">
        <v>2958</v>
      </c>
      <c r="E531" s="21">
        <v>40</v>
      </c>
      <c r="F531" s="46" t="s">
        <v>2959</v>
      </c>
      <c r="G531" s="27"/>
      <c r="H531" s="47"/>
      <c r="I531" s="47"/>
      <c r="J531" s="229"/>
      <c r="K531" s="28"/>
      <c r="L531" s="28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</row>
    <row r="532" spans="1:27" ht="37.5">
      <c r="A532" s="121"/>
      <c r="B532" s="20" t="str">
        <f t="shared" si="8"/>
        <v>4120</v>
      </c>
      <c r="C532" s="21"/>
      <c r="D532" s="63" t="s">
        <v>2960</v>
      </c>
      <c r="E532" s="21">
        <v>40</v>
      </c>
      <c r="F532" s="46" t="s">
        <v>2961</v>
      </c>
      <c r="G532" s="27"/>
      <c r="H532" s="47"/>
      <c r="I532" s="47"/>
      <c r="J532" s="229"/>
      <c r="K532" s="28"/>
      <c r="L532" s="28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</row>
    <row r="533" spans="1:27" ht="37.5">
      <c r="A533" s="121"/>
      <c r="B533" s="20" t="str">
        <f t="shared" si="8"/>
        <v>4120</v>
      </c>
      <c r="C533" s="21"/>
      <c r="D533" s="63" t="s">
        <v>2962</v>
      </c>
      <c r="E533" s="21">
        <v>40</v>
      </c>
      <c r="F533" s="46" t="s">
        <v>2963</v>
      </c>
      <c r="G533" s="27"/>
      <c r="H533" s="47"/>
      <c r="I533" s="47"/>
      <c r="J533" s="229"/>
      <c r="K533" s="28"/>
      <c r="L533" s="28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</row>
    <row r="534" spans="1:27" ht="37.5">
      <c r="A534" s="121"/>
      <c r="B534" s="20" t="str">
        <f t="shared" si="8"/>
        <v>4210</v>
      </c>
      <c r="C534" s="21"/>
      <c r="D534" s="63" t="s">
        <v>2964</v>
      </c>
      <c r="E534" s="21">
        <v>40</v>
      </c>
      <c r="F534" s="46" t="s">
        <v>2965</v>
      </c>
      <c r="G534" s="27"/>
      <c r="H534" s="47"/>
      <c r="I534" s="47"/>
      <c r="J534" s="229"/>
      <c r="K534" s="28"/>
      <c r="L534" s="28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</row>
    <row r="535" spans="1:27" ht="18.75">
      <c r="A535" s="121"/>
      <c r="B535" s="20" t="str">
        <f t="shared" si="8"/>
        <v>4310</v>
      </c>
      <c r="C535" s="21"/>
      <c r="D535" s="63" t="s">
        <v>2966</v>
      </c>
      <c r="E535" s="21">
        <v>40</v>
      </c>
      <c r="F535" s="46" t="s">
        <v>2967</v>
      </c>
      <c r="G535" s="27"/>
      <c r="H535" s="47"/>
      <c r="I535" s="47"/>
      <c r="J535" s="229"/>
      <c r="K535" s="28"/>
      <c r="L535" s="28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</row>
    <row r="536" spans="1:27" ht="18.75">
      <c r="A536" s="121"/>
      <c r="B536" s="20" t="str">
        <f t="shared" si="8"/>
        <v>4320</v>
      </c>
      <c r="C536" s="21"/>
      <c r="D536" s="63" t="s">
        <v>2968</v>
      </c>
      <c r="E536" s="21">
        <v>40</v>
      </c>
      <c r="F536" s="46" t="s">
        <v>2969</v>
      </c>
      <c r="G536" s="27"/>
      <c r="H536" s="47"/>
      <c r="I536" s="47"/>
      <c r="J536" s="229"/>
      <c r="K536" s="28"/>
      <c r="L536" s="28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</row>
    <row r="537" spans="1:27" ht="18.75">
      <c r="A537" s="121"/>
      <c r="B537" s="20" t="str">
        <f t="shared" si="8"/>
        <v>4320</v>
      </c>
      <c r="C537" s="21"/>
      <c r="D537" s="63" t="s">
        <v>2970</v>
      </c>
      <c r="E537" s="21">
        <v>40</v>
      </c>
      <c r="F537" s="46" t="s">
        <v>2971</v>
      </c>
      <c r="G537" s="27"/>
      <c r="H537" s="47"/>
      <c r="I537" s="47"/>
      <c r="J537" s="229"/>
      <c r="K537" s="28"/>
      <c r="L537" s="28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</row>
    <row r="538" spans="1:27" ht="37.5">
      <c r="A538" s="121"/>
      <c r="B538" s="20" t="str">
        <f t="shared" si="8"/>
        <v>4320</v>
      </c>
      <c r="C538" s="21"/>
      <c r="D538" s="63" t="s">
        <v>2972</v>
      </c>
      <c r="E538" s="21">
        <v>40</v>
      </c>
      <c r="F538" s="46" t="s">
        <v>2973</v>
      </c>
      <c r="G538" s="27"/>
      <c r="H538" s="47"/>
      <c r="I538" s="47"/>
      <c r="J538" s="229"/>
      <c r="K538" s="28"/>
      <c r="L538" s="28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</row>
    <row r="539" spans="1:27" ht="37.5">
      <c r="A539" s="121"/>
      <c r="B539" s="20" t="str">
        <f t="shared" si="8"/>
        <v>4320</v>
      </c>
      <c r="C539" s="21"/>
      <c r="D539" s="63" t="s">
        <v>2974</v>
      </c>
      <c r="E539" s="21">
        <v>40</v>
      </c>
      <c r="F539" s="46" t="s">
        <v>2975</v>
      </c>
      <c r="G539" s="27"/>
      <c r="H539" s="47"/>
      <c r="I539" s="47"/>
      <c r="J539" s="229"/>
      <c r="K539" s="28"/>
      <c r="L539" s="28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</row>
    <row r="540" spans="1:27" ht="37.5">
      <c r="A540" s="121"/>
      <c r="B540" s="20" t="str">
        <f t="shared" si="8"/>
        <v>4320</v>
      </c>
      <c r="C540" s="21"/>
      <c r="D540" s="63" t="s">
        <v>2976</v>
      </c>
      <c r="E540" s="21">
        <v>40</v>
      </c>
      <c r="F540" s="46" t="s">
        <v>2977</v>
      </c>
      <c r="G540" s="27"/>
      <c r="H540" s="47"/>
      <c r="I540" s="47"/>
      <c r="J540" s="229"/>
      <c r="K540" s="28"/>
      <c r="L540" s="28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</row>
    <row r="541" spans="1:27" ht="18.75">
      <c r="A541" s="121"/>
      <c r="B541" s="20" t="str">
        <f t="shared" si="8"/>
        <v>4320</v>
      </c>
      <c r="C541" s="21"/>
      <c r="D541" s="63" t="s">
        <v>2978</v>
      </c>
      <c r="E541" s="21">
        <v>40</v>
      </c>
      <c r="F541" s="46" t="s">
        <v>2446</v>
      </c>
      <c r="G541" s="27"/>
      <c r="H541" s="47"/>
      <c r="I541" s="47"/>
      <c r="J541" s="229"/>
      <c r="K541" s="28"/>
      <c r="L541" s="28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</row>
    <row r="542" spans="1:27" ht="18.75">
      <c r="A542" s="121"/>
      <c r="B542" s="20" t="str">
        <f t="shared" si="8"/>
        <v>4320</v>
      </c>
      <c r="C542" s="21"/>
      <c r="D542" s="63" t="s">
        <v>2979</v>
      </c>
      <c r="E542" s="21">
        <v>40</v>
      </c>
      <c r="F542" s="46" t="s">
        <v>2980</v>
      </c>
      <c r="G542" s="27"/>
      <c r="H542" s="47"/>
      <c r="I542" s="47"/>
      <c r="J542" s="229"/>
      <c r="K542" s="28"/>
      <c r="L542" s="28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</row>
    <row r="543" spans="1:27" ht="18.75">
      <c r="A543" s="121"/>
      <c r="B543" s="20" t="str">
        <f t="shared" si="8"/>
        <v>4320</v>
      </c>
      <c r="C543" s="21"/>
      <c r="D543" s="63" t="s">
        <v>2981</v>
      </c>
      <c r="E543" s="21">
        <v>40</v>
      </c>
      <c r="F543" s="46" t="s">
        <v>2982</v>
      </c>
      <c r="G543" s="27"/>
      <c r="H543" s="47"/>
      <c r="I543" s="47"/>
      <c r="J543" s="229"/>
      <c r="K543" s="28"/>
      <c r="L543" s="28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</row>
    <row r="544" spans="1:27" ht="18.75">
      <c r="A544" s="121"/>
      <c r="B544" s="20" t="str">
        <f t="shared" si="8"/>
        <v>4630</v>
      </c>
      <c r="C544" s="21"/>
      <c r="D544" s="63" t="s">
        <v>2983</v>
      </c>
      <c r="E544" s="21">
        <v>40</v>
      </c>
      <c r="F544" s="46" t="s">
        <v>2984</v>
      </c>
      <c r="G544" s="27"/>
      <c r="H544" s="47"/>
      <c r="I544" s="47"/>
      <c r="J544" s="229"/>
      <c r="K544" s="28"/>
      <c r="L544" s="28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</row>
    <row r="545" spans="1:27" ht="18.75">
      <c r="A545" s="121"/>
      <c r="B545" s="20" t="str">
        <f t="shared" si="8"/>
        <v>4910</v>
      </c>
      <c r="C545" s="21"/>
      <c r="D545" s="63" t="s">
        <v>2985</v>
      </c>
      <c r="E545" s="21">
        <v>40</v>
      </c>
      <c r="F545" s="46" t="s">
        <v>2986</v>
      </c>
      <c r="G545" s="27"/>
      <c r="H545" s="47"/>
      <c r="I545" s="47"/>
      <c r="J545" s="229"/>
      <c r="K545" s="28"/>
      <c r="L545" s="28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</row>
    <row r="546" spans="1:27" ht="18.75">
      <c r="A546" s="121"/>
      <c r="B546" s="20" t="str">
        <f t="shared" si="8"/>
        <v>4910</v>
      </c>
      <c r="C546" s="21"/>
      <c r="D546" s="63" t="s">
        <v>2987</v>
      </c>
      <c r="E546" s="21">
        <v>40</v>
      </c>
      <c r="F546" s="46" t="s">
        <v>2988</v>
      </c>
      <c r="G546" s="27"/>
      <c r="H546" s="47"/>
      <c r="I546" s="47"/>
      <c r="J546" s="229"/>
      <c r="K546" s="28"/>
      <c r="L546" s="28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</row>
    <row r="547" spans="1:27" ht="18.75">
      <c r="A547" s="121"/>
      <c r="B547" s="20" t="str">
        <f t="shared" si="8"/>
        <v>4930</v>
      </c>
      <c r="C547" s="21"/>
      <c r="D547" s="63" t="s">
        <v>2989</v>
      </c>
      <c r="E547" s="21">
        <v>40</v>
      </c>
      <c r="F547" s="46" t="s">
        <v>2990</v>
      </c>
      <c r="G547" s="27"/>
      <c r="H547" s="47"/>
      <c r="I547" s="47"/>
      <c r="J547" s="229"/>
      <c r="K547" s="28"/>
      <c r="L547" s="28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</row>
    <row r="548" spans="1:27" ht="18.75">
      <c r="A548" s="121"/>
      <c r="B548" s="20" t="str">
        <f t="shared" si="8"/>
        <v>4940</v>
      </c>
      <c r="C548" s="21"/>
      <c r="D548" s="63" t="s">
        <v>2991</v>
      </c>
      <c r="E548" s="21">
        <v>40</v>
      </c>
      <c r="F548" s="46" t="s">
        <v>2992</v>
      </c>
      <c r="G548" s="27"/>
      <c r="H548" s="47"/>
      <c r="I548" s="47"/>
      <c r="J548" s="229"/>
      <c r="K548" s="28"/>
      <c r="L548" s="28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</row>
    <row r="549" spans="1:27" ht="18.75">
      <c r="A549" s="121"/>
      <c r="B549" s="20" t="str">
        <f t="shared" si="8"/>
        <v>4940</v>
      </c>
      <c r="C549" s="21"/>
      <c r="D549" s="63" t="s">
        <v>2993</v>
      </c>
      <c r="E549" s="21">
        <v>40</v>
      </c>
      <c r="F549" s="46" t="s">
        <v>2994</v>
      </c>
      <c r="G549" s="27"/>
      <c r="H549" s="47"/>
      <c r="I549" s="47"/>
      <c r="J549" s="229"/>
      <c r="K549" s="28"/>
      <c r="L549" s="28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</row>
    <row r="550" spans="1:27" ht="18.75">
      <c r="A550" s="121"/>
      <c r="B550" s="20" t="str">
        <f t="shared" si="8"/>
        <v>4940</v>
      </c>
      <c r="C550" s="21"/>
      <c r="D550" s="63" t="s">
        <v>2995</v>
      </c>
      <c r="E550" s="21">
        <v>40</v>
      </c>
      <c r="F550" s="46" t="s">
        <v>2686</v>
      </c>
      <c r="G550" s="27"/>
      <c r="H550" s="47"/>
      <c r="I550" s="47"/>
      <c r="J550" s="229"/>
      <c r="K550" s="28"/>
      <c r="L550" s="28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</row>
    <row r="551" spans="1:27" ht="18.75">
      <c r="A551" s="121"/>
      <c r="B551" s="20" t="str">
        <f t="shared" si="8"/>
        <v>5110</v>
      </c>
      <c r="C551" s="21"/>
      <c r="D551" s="63" t="s">
        <v>2996</v>
      </c>
      <c r="E551" s="21">
        <v>40</v>
      </c>
      <c r="F551" s="46" t="s">
        <v>2997</v>
      </c>
      <c r="G551" s="27"/>
      <c r="H551" s="47"/>
      <c r="I551" s="47"/>
      <c r="J551" s="229"/>
      <c r="K551" s="28"/>
      <c r="L551" s="28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</row>
    <row r="552" spans="1:27" ht="18.75">
      <c r="A552" s="121"/>
      <c r="B552" s="20" t="str">
        <f t="shared" si="8"/>
        <v>5120</v>
      </c>
      <c r="C552" s="21"/>
      <c r="D552" s="63" t="s">
        <v>2998</v>
      </c>
      <c r="E552" s="21">
        <v>40</v>
      </c>
      <c r="F552" s="46" t="s">
        <v>2999</v>
      </c>
      <c r="G552" s="27"/>
      <c r="H552" s="47"/>
      <c r="I552" s="47"/>
      <c r="J552" s="229"/>
      <c r="K552" s="28"/>
      <c r="L552" s="28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</row>
    <row r="553" spans="1:27" ht="18.75">
      <c r="A553" s="121"/>
      <c r="B553" s="20" t="str">
        <f t="shared" si="8"/>
        <v>5120</v>
      </c>
      <c r="C553" s="21"/>
      <c r="D553" s="63" t="s">
        <v>3000</v>
      </c>
      <c r="E553" s="21">
        <v>40</v>
      </c>
      <c r="F553" s="46" t="s">
        <v>3001</v>
      </c>
      <c r="G553" s="27"/>
      <c r="H553" s="47"/>
      <c r="I553" s="47"/>
      <c r="J553" s="229"/>
      <c r="K553" s="28"/>
      <c r="L553" s="28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</row>
    <row r="554" spans="1:27" ht="18.75">
      <c r="A554" s="121"/>
      <c r="B554" s="20" t="str">
        <f t="shared" si="8"/>
        <v>5120</v>
      </c>
      <c r="C554" s="21"/>
      <c r="D554" s="63" t="s">
        <v>3002</v>
      </c>
      <c r="E554" s="21">
        <v>40</v>
      </c>
      <c r="F554" s="46" t="s">
        <v>3003</v>
      </c>
      <c r="G554" s="27"/>
      <c r="H554" s="47"/>
      <c r="I554" s="47"/>
      <c r="J554" s="229"/>
      <c r="K554" s="28"/>
      <c r="L554" s="28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</row>
    <row r="555" spans="1:27" ht="18.75">
      <c r="A555" s="121"/>
      <c r="B555" s="20" t="str">
        <f t="shared" si="8"/>
        <v>5120</v>
      </c>
      <c r="C555" s="21"/>
      <c r="D555" s="63" t="s">
        <v>3004</v>
      </c>
      <c r="E555" s="21">
        <v>40</v>
      </c>
      <c r="F555" s="46" t="s">
        <v>3005</v>
      </c>
      <c r="G555" s="27"/>
      <c r="H555" s="47"/>
      <c r="I555" s="47"/>
      <c r="J555" s="229"/>
      <c r="K555" s="28"/>
      <c r="L555" s="28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</row>
    <row r="556" spans="1:27" ht="18.75">
      <c r="A556" s="121"/>
      <c r="B556" s="20" t="str">
        <f t="shared" si="8"/>
        <v>5120</v>
      </c>
      <c r="C556" s="21"/>
      <c r="D556" s="63" t="s">
        <v>3006</v>
      </c>
      <c r="E556" s="21">
        <v>40</v>
      </c>
      <c r="F556" s="46" t="s">
        <v>3007</v>
      </c>
      <c r="G556" s="27"/>
      <c r="H556" s="47"/>
      <c r="I556" s="47"/>
      <c r="J556" s="229"/>
      <c r="K556" s="28"/>
      <c r="L556" s="28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</row>
    <row r="557" spans="1:27" ht="18.75">
      <c r="A557" s="121"/>
      <c r="B557" s="20" t="str">
        <f t="shared" si="8"/>
        <v>5120</v>
      </c>
      <c r="C557" s="21"/>
      <c r="D557" s="63" t="s">
        <v>3008</v>
      </c>
      <c r="E557" s="21">
        <v>40</v>
      </c>
      <c r="F557" s="46" t="s">
        <v>3009</v>
      </c>
      <c r="G557" s="27"/>
      <c r="H557" s="47"/>
      <c r="I557" s="47"/>
      <c r="J557" s="229"/>
      <c r="K557" s="28"/>
      <c r="L557" s="28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</row>
    <row r="558" spans="1:27" ht="18.75">
      <c r="A558" s="121"/>
      <c r="B558" s="20" t="str">
        <f t="shared" si="8"/>
        <v>5120</v>
      </c>
      <c r="C558" s="21"/>
      <c r="D558" s="63" t="s">
        <v>3010</v>
      </c>
      <c r="E558" s="21">
        <v>40</v>
      </c>
      <c r="F558" s="46" t="s">
        <v>3011</v>
      </c>
      <c r="G558" s="27"/>
      <c r="H558" s="47"/>
      <c r="I558" s="47"/>
      <c r="J558" s="229"/>
      <c r="K558" s="28"/>
      <c r="L558" s="28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</row>
    <row r="559" spans="1:27" ht="18.75">
      <c r="A559" s="121"/>
      <c r="B559" s="20" t="str">
        <f t="shared" si="8"/>
        <v>5130</v>
      </c>
      <c r="C559" s="21"/>
      <c r="D559" s="63" t="s">
        <v>3012</v>
      </c>
      <c r="E559" s="21">
        <v>40</v>
      </c>
      <c r="F559" s="46" t="s">
        <v>3013</v>
      </c>
      <c r="G559" s="27"/>
      <c r="H559" s="47"/>
      <c r="I559" s="47"/>
      <c r="J559" s="229"/>
      <c r="K559" s="28"/>
      <c r="L559" s="28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</row>
    <row r="560" spans="1:27" ht="18.75">
      <c r="A560" s="121"/>
      <c r="B560" s="20" t="str">
        <f t="shared" si="8"/>
        <v>5130</v>
      </c>
      <c r="C560" s="21"/>
      <c r="D560" s="63" t="s">
        <v>3014</v>
      </c>
      <c r="E560" s="21">
        <v>40</v>
      </c>
      <c r="F560" s="46" t="s">
        <v>3015</v>
      </c>
      <c r="G560" s="27"/>
      <c r="H560" s="47">
        <v>5750</v>
      </c>
      <c r="I560" s="47"/>
      <c r="J560" s="229"/>
      <c r="K560" s="28"/>
      <c r="L560" s="28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</row>
    <row r="561" spans="1:27" ht="18.75">
      <c r="A561" s="121"/>
      <c r="B561" s="20" t="str">
        <f t="shared" si="8"/>
        <v>5130</v>
      </c>
      <c r="C561" s="21"/>
      <c r="D561" s="63" t="s">
        <v>3016</v>
      </c>
      <c r="E561" s="21">
        <v>40</v>
      </c>
      <c r="F561" s="46" t="s">
        <v>3017</v>
      </c>
      <c r="G561" s="27"/>
      <c r="H561" s="47"/>
      <c r="I561" s="47"/>
      <c r="J561" s="229"/>
      <c r="K561" s="28"/>
      <c r="L561" s="28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</row>
    <row r="562" spans="1:27" ht="18.75">
      <c r="A562" s="121"/>
      <c r="B562" s="20" t="str">
        <f t="shared" si="8"/>
        <v>5130</v>
      </c>
      <c r="C562" s="21"/>
      <c r="D562" s="63" t="s">
        <v>3018</v>
      </c>
      <c r="E562" s="21">
        <v>40</v>
      </c>
      <c r="F562" s="46" t="s">
        <v>3019</v>
      </c>
      <c r="G562" s="27"/>
      <c r="H562" s="47"/>
      <c r="I562" s="47"/>
      <c r="J562" s="229"/>
      <c r="K562" s="28"/>
      <c r="L562" s="28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</row>
    <row r="563" spans="1:27" ht="18.75">
      <c r="A563" s="121"/>
      <c r="B563" s="20" t="str">
        <f t="shared" si="8"/>
        <v>5130</v>
      </c>
      <c r="C563" s="21"/>
      <c r="D563" s="63" t="s">
        <v>3020</v>
      </c>
      <c r="E563" s="21">
        <v>40</v>
      </c>
      <c r="F563" s="46" t="s">
        <v>3021</v>
      </c>
      <c r="G563" s="27"/>
      <c r="H563" s="47"/>
      <c r="I563" s="47"/>
      <c r="J563" s="229"/>
      <c r="K563" s="28"/>
      <c r="L563" s="28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</row>
    <row r="564" spans="1:27" ht="18.75">
      <c r="A564" s="121"/>
      <c r="B564" s="20" t="str">
        <f t="shared" si="8"/>
        <v>5130</v>
      </c>
      <c r="C564" s="21"/>
      <c r="D564" s="63" t="s">
        <v>3022</v>
      </c>
      <c r="E564" s="21">
        <v>40</v>
      </c>
      <c r="F564" s="46" t="s">
        <v>3023</v>
      </c>
      <c r="G564" s="27"/>
      <c r="H564" s="47"/>
      <c r="I564" s="47"/>
      <c r="J564" s="229"/>
      <c r="K564" s="28"/>
      <c r="L564" s="28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</row>
    <row r="565" spans="1:27" ht="18.75">
      <c r="A565" s="121"/>
      <c r="B565" s="20" t="str">
        <f t="shared" si="8"/>
        <v>5130</v>
      </c>
      <c r="C565" s="21"/>
      <c r="D565" s="63" t="s">
        <v>3024</v>
      </c>
      <c r="E565" s="21">
        <v>40</v>
      </c>
      <c r="F565" s="46" t="s">
        <v>3025</v>
      </c>
      <c r="G565" s="27"/>
      <c r="H565" s="47"/>
      <c r="I565" s="47"/>
      <c r="J565" s="229"/>
      <c r="K565" s="28"/>
      <c r="L565" s="28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</row>
    <row r="566" spans="1:27" ht="18.75">
      <c r="A566" s="121"/>
      <c r="B566" s="20" t="str">
        <f t="shared" si="8"/>
        <v>5130</v>
      </c>
      <c r="C566" s="21"/>
      <c r="D566" s="63" t="s">
        <v>3026</v>
      </c>
      <c r="E566" s="21">
        <v>40</v>
      </c>
      <c r="F566" s="46" t="s">
        <v>3027</v>
      </c>
      <c r="G566" s="27"/>
      <c r="H566" s="47"/>
      <c r="I566" s="47"/>
      <c r="J566" s="229"/>
      <c r="K566" s="28"/>
      <c r="L566" s="28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</row>
    <row r="567" spans="1:27" ht="18.75">
      <c r="A567" s="121"/>
      <c r="B567" s="20" t="str">
        <f t="shared" si="8"/>
        <v>5130</v>
      </c>
      <c r="C567" s="21"/>
      <c r="D567" s="63" t="s">
        <v>3028</v>
      </c>
      <c r="E567" s="21">
        <v>40</v>
      </c>
      <c r="F567" s="46" t="s">
        <v>3029</v>
      </c>
      <c r="G567" s="27"/>
      <c r="H567" s="47"/>
      <c r="I567" s="47"/>
      <c r="J567" s="229"/>
      <c r="K567" s="28"/>
      <c r="L567" s="28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</row>
    <row r="568" spans="1:27" ht="18.75">
      <c r="A568" s="121"/>
      <c r="B568" s="20" t="str">
        <f t="shared" si="8"/>
        <v>5130</v>
      </c>
      <c r="C568" s="21"/>
      <c r="D568" s="63" t="s">
        <v>3030</v>
      </c>
      <c r="E568" s="21">
        <v>40</v>
      </c>
      <c r="F568" s="46" t="s">
        <v>3031</v>
      </c>
      <c r="G568" s="27"/>
      <c r="H568" s="47"/>
      <c r="I568" s="47"/>
      <c r="J568" s="229"/>
      <c r="K568" s="28"/>
      <c r="L568" s="28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</row>
    <row r="569" spans="1:27" ht="18.75">
      <c r="A569" s="121"/>
      <c r="B569" s="20" t="str">
        <f t="shared" si="8"/>
        <v>5130</v>
      </c>
      <c r="C569" s="21"/>
      <c r="D569" s="63" t="s">
        <v>3032</v>
      </c>
      <c r="E569" s="21">
        <v>40</v>
      </c>
      <c r="F569" s="46" t="s">
        <v>3033</v>
      </c>
      <c r="G569" s="27"/>
      <c r="H569" s="47"/>
      <c r="I569" s="47"/>
      <c r="J569" s="229"/>
      <c r="K569" s="28"/>
      <c r="L569" s="28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</row>
    <row r="570" spans="1:27" ht="18.75">
      <c r="A570" s="121"/>
      <c r="B570" s="20" t="str">
        <f t="shared" si="8"/>
        <v>5130</v>
      </c>
      <c r="C570" s="21"/>
      <c r="D570" s="63" t="s">
        <v>3034</v>
      </c>
      <c r="E570" s="21">
        <v>40</v>
      </c>
      <c r="F570" s="46" t="s">
        <v>3035</v>
      </c>
      <c r="G570" s="27"/>
      <c r="H570" s="47"/>
      <c r="I570" s="47"/>
      <c r="J570" s="229"/>
      <c r="K570" s="28"/>
      <c r="L570" s="28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</row>
    <row r="571" spans="1:27" ht="18.75">
      <c r="A571" s="121"/>
      <c r="B571" s="20" t="str">
        <f t="shared" si="8"/>
        <v>5130</v>
      </c>
      <c r="C571" s="21"/>
      <c r="D571" s="63" t="s">
        <v>3036</v>
      </c>
      <c r="E571" s="21">
        <v>40</v>
      </c>
      <c r="F571" s="46" t="s">
        <v>3037</v>
      </c>
      <c r="G571" s="27"/>
      <c r="H571" s="47"/>
      <c r="I571" s="47"/>
      <c r="J571" s="229"/>
      <c r="K571" s="28"/>
      <c r="L571" s="28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</row>
    <row r="572" spans="1:27" ht="18.75">
      <c r="A572" s="121"/>
      <c r="B572" s="20" t="str">
        <f t="shared" si="8"/>
        <v>5130</v>
      </c>
      <c r="C572" s="21"/>
      <c r="D572" s="63" t="s">
        <v>3038</v>
      </c>
      <c r="E572" s="21">
        <v>40</v>
      </c>
      <c r="F572" s="46" t="s">
        <v>3039</v>
      </c>
      <c r="G572" s="27"/>
      <c r="H572" s="47"/>
      <c r="I572" s="47"/>
      <c r="J572" s="229"/>
      <c r="K572" s="28"/>
      <c r="L572" s="28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</row>
    <row r="573" spans="1:27" ht="18.75">
      <c r="A573" s="121"/>
      <c r="B573" s="20" t="str">
        <f t="shared" si="8"/>
        <v>5130</v>
      </c>
      <c r="C573" s="21"/>
      <c r="D573" s="63" t="s">
        <v>3040</v>
      </c>
      <c r="E573" s="21">
        <v>40</v>
      </c>
      <c r="F573" s="46" t="s">
        <v>193</v>
      </c>
      <c r="G573" s="27"/>
      <c r="H573" s="47"/>
      <c r="I573" s="47"/>
      <c r="J573" s="229"/>
      <c r="K573" s="28"/>
      <c r="L573" s="28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</row>
    <row r="574" spans="1:27" ht="18.75">
      <c r="A574" s="121"/>
      <c r="B574" s="20" t="str">
        <f t="shared" si="8"/>
        <v>5130</v>
      </c>
      <c r="C574" s="21"/>
      <c r="D574" s="63" t="s">
        <v>3041</v>
      </c>
      <c r="E574" s="21">
        <v>40</v>
      </c>
      <c r="F574" s="46" t="s">
        <v>3042</v>
      </c>
      <c r="G574" s="27"/>
      <c r="H574" s="47"/>
      <c r="I574" s="47"/>
      <c r="J574" s="229"/>
      <c r="K574" s="28"/>
      <c r="L574" s="28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</row>
    <row r="575" spans="1:27" ht="18.75">
      <c r="A575" s="121"/>
      <c r="B575" s="20" t="str">
        <f t="shared" si="8"/>
        <v>5130</v>
      </c>
      <c r="C575" s="21"/>
      <c r="D575" s="63" t="s">
        <v>3043</v>
      </c>
      <c r="E575" s="21">
        <v>40</v>
      </c>
      <c r="F575" s="46" t="s">
        <v>3044</v>
      </c>
      <c r="G575" s="27"/>
      <c r="H575" s="47"/>
      <c r="I575" s="47"/>
      <c r="J575" s="229"/>
      <c r="K575" s="28"/>
      <c r="L575" s="28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</row>
    <row r="576" spans="1:27" ht="18.75">
      <c r="A576" s="121"/>
      <c r="B576" s="20" t="str">
        <f t="shared" si="8"/>
        <v>5130</v>
      </c>
      <c r="C576" s="21"/>
      <c r="D576" s="63" t="s">
        <v>3045</v>
      </c>
      <c r="E576" s="21">
        <v>40</v>
      </c>
      <c r="F576" s="46" t="s">
        <v>3046</v>
      </c>
      <c r="G576" s="27"/>
      <c r="H576" s="47"/>
      <c r="I576" s="47"/>
      <c r="J576" s="229"/>
      <c r="K576" s="28"/>
      <c r="L576" s="28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</row>
    <row r="577" spans="1:27" ht="18.75">
      <c r="A577" s="121"/>
      <c r="B577" s="20" t="str">
        <f t="shared" si="8"/>
        <v>5130</v>
      </c>
      <c r="C577" s="21"/>
      <c r="D577" s="63" t="s">
        <v>3047</v>
      </c>
      <c r="E577" s="21">
        <v>40</v>
      </c>
      <c r="F577" s="46" t="s">
        <v>3048</v>
      </c>
      <c r="G577" s="27"/>
      <c r="H577" s="47"/>
      <c r="I577" s="47"/>
      <c r="J577" s="229"/>
      <c r="K577" s="28"/>
      <c r="L577" s="28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</row>
    <row r="578" spans="1:27" ht="18.75">
      <c r="A578" s="121"/>
      <c r="B578" s="20" t="str">
        <f t="shared" ref="B578:B641" si="9">LEFT(D578, SEARCH("",D578,4))</f>
        <v>5130</v>
      </c>
      <c r="C578" s="21"/>
      <c r="D578" s="63" t="s">
        <v>3049</v>
      </c>
      <c r="E578" s="21">
        <v>40</v>
      </c>
      <c r="F578" s="46" t="s">
        <v>3050</v>
      </c>
      <c r="G578" s="27"/>
      <c r="H578" s="47"/>
      <c r="I578" s="47"/>
      <c r="J578" s="229"/>
      <c r="K578" s="28"/>
      <c r="L578" s="28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</row>
    <row r="579" spans="1:27" ht="18.75">
      <c r="A579" s="121"/>
      <c r="B579" s="20" t="str">
        <f t="shared" si="9"/>
        <v>5130</v>
      </c>
      <c r="C579" s="21"/>
      <c r="D579" s="63" t="s">
        <v>3051</v>
      </c>
      <c r="E579" s="21">
        <v>40</v>
      </c>
      <c r="F579" s="46" t="s">
        <v>3052</v>
      </c>
      <c r="G579" s="27"/>
      <c r="H579" s="47"/>
      <c r="I579" s="47"/>
      <c r="J579" s="229"/>
      <c r="K579" s="28"/>
      <c r="L579" s="28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</row>
    <row r="580" spans="1:27" ht="18.75">
      <c r="A580" s="121"/>
      <c r="B580" s="20" t="str">
        <f t="shared" si="9"/>
        <v>5130</v>
      </c>
      <c r="C580" s="21"/>
      <c r="D580" s="63" t="s">
        <v>3053</v>
      </c>
      <c r="E580" s="21">
        <v>40</v>
      </c>
      <c r="F580" s="46" t="s">
        <v>3054</v>
      </c>
      <c r="G580" s="27"/>
      <c r="H580" s="47"/>
      <c r="I580" s="47"/>
      <c r="J580" s="229"/>
      <c r="K580" s="28"/>
      <c r="L580" s="28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</row>
    <row r="581" spans="1:27" ht="18.75">
      <c r="A581" s="121"/>
      <c r="B581" s="20" t="str">
        <f t="shared" si="9"/>
        <v>5136</v>
      </c>
      <c r="C581" s="21"/>
      <c r="D581" s="63" t="s">
        <v>3055</v>
      </c>
      <c r="E581" s="21">
        <v>40</v>
      </c>
      <c r="F581" s="46" t="s">
        <v>2500</v>
      </c>
      <c r="G581" s="27"/>
      <c r="H581" s="47"/>
      <c r="I581" s="47"/>
      <c r="J581" s="229"/>
      <c r="K581" s="28"/>
      <c r="L581" s="28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</row>
    <row r="582" spans="1:27" ht="18.75">
      <c r="A582" s="121"/>
      <c r="B582" s="20" t="str">
        <f t="shared" si="9"/>
        <v>5136</v>
      </c>
      <c r="C582" s="21"/>
      <c r="D582" s="63" t="s">
        <v>3056</v>
      </c>
      <c r="E582" s="21">
        <v>40</v>
      </c>
      <c r="F582" s="46" t="s">
        <v>3057</v>
      </c>
      <c r="G582" s="27"/>
      <c r="H582" s="47"/>
      <c r="I582" s="47"/>
      <c r="J582" s="229"/>
      <c r="K582" s="28"/>
      <c r="L582" s="28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</row>
    <row r="583" spans="1:27" ht="18.75">
      <c r="A583" s="121"/>
      <c r="B583" s="20" t="str">
        <f t="shared" si="9"/>
        <v>5180</v>
      </c>
      <c r="C583" s="21"/>
      <c r="D583" s="63" t="s">
        <v>3058</v>
      </c>
      <c r="E583" s="21">
        <v>40</v>
      </c>
      <c r="F583" s="46" t="s">
        <v>3059</v>
      </c>
      <c r="G583" s="27"/>
      <c r="H583" s="47"/>
      <c r="I583" s="47"/>
      <c r="J583" s="229"/>
      <c r="K583" s="28"/>
      <c r="L583" s="28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</row>
    <row r="584" spans="1:27" ht="18.75">
      <c r="A584" s="121"/>
      <c r="B584" s="20" t="str">
        <f t="shared" si="9"/>
        <v>5180</v>
      </c>
      <c r="C584" s="21"/>
      <c r="D584" s="63" t="s">
        <v>3060</v>
      </c>
      <c r="E584" s="21">
        <v>40</v>
      </c>
      <c r="F584" s="46" t="s">
        <v>3061</v>
      </c>
      <c r="G584" s="27"/>
      <c r="H584" s="47"/>
      <c r="I584" s="47"/>
      <c r="J584" s="229"/>
      <c r="K584" s="28"/>
      <c r="L584" s="28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</row>
    <row r="585" spans="1:27" ht="18.75">
      <c r="A585" s="121"/>
      <c r="B585" s="20" t="str">
        <f t="shared" si="9"/>
        <v>5180</v>
      </c>
      <c r="C585" s="21"/>
      <c r="D585" s="63" t="s">
        <v>3062</v>
      </c>
      <c r="E585" s="21">
        <v>40</v>
      </c>
      <c r="F585" s="46" t="s">
        <v>3063</v>
      </c>
      <c r="G585" s="27"/>
      <c r="H585" s="47"/>
      <c r="I585" s="47"/>
      <c r="J585" s="229"/>
      <c r="K585" s="28"/>
      <c r="L585" s="28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</row>
    <row r="586" spans="1:27" ht="18.75">
      <c r="A586" s="121"/>
      <c r="B586" s="20" t="str">
        <f t="shared" si="9"/>
        <v>5180</v>
      </c>
      <c r="C586" s="21"/>
      <c r="D586" s="63" t="s">
        <v>3064</v>
      </c>
      <c r="E586" s="21">
        <v>40</v>
      </c>
      <c r="F586" s="46" t="s">
        <v>3065</v>
      </c>
      <c r="G586" s="27"/>
      <c r="H586" s="47"/>
      <c r="I586" s="47"/>
      <c r="J586" s="229"/>
      <c r="K586" s="28"/>
      <c r="L586" s="28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</row>
    <row r="587" spans="1:27" ht="18.75">
      <c r="A587" s="121"/>
      <c r="B587" s="20" t="str">
        <f t="shared" si="9"/>
        <v>5180</v>
      </c>
      <c r="C587" s="21"/>
      <c r="D587" s="63" t="s">
        <v>3066</v>
      </c>
      <c r="E587" s="21">
        <v>40</v>
      </c>
      <c r="F587" s="46" t="s">
        <v>3067</v>
      </c>
      <c r="G587" s="27"/>
      <c r="H587" s="47"/>
      <c r="I587" s="47"/>
      <c r="J587" s="229"/>
      <c r="K587" s="28"/>
      <c r="L587" s="28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</row>
    <row r="588" spans="1:27" ht="18.75">
      <c r="A588" s="121"/>
      <c r="B588" s="20" t="str">
        <f t="shared" si="9"/>
        <v>5180</v>
      </c>
      <c r="C588" s="21"/>
      <c r="D588" s="63" t="s">
        <v>3068</v>
      </c>
      <c r="E588" s="21">
        <v>40</v>
      </c>
      <c r="F588" s="46" t="s">
        <v>3069</v>
      </c>
      <c r="G588" s="27"/>
      <c r="H588" s="47"/>
      <c r="I588" s="47"/>
      <c r="J588" s="229"/>
      <c r="K588" s="28"/>
      <c r="L588" s="28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</row>
    <row r="589" spans="1:27" ht="18.75">
      <c r="A589" s="121"/>
      <c r="B589" s="20" t="str">
        <f t="shared" si="9"/>
        <v>5210</v>
      </c>
      <c r="C589" s="21"/>
      <c r="D589" s="63" t="s">
        <v>3070</v>
      </c>
      <c r="E589" s="21">
        <v>40</v>
      </c>
      <c r="F589" s="46" t="s">
        <v>3071</v>
      </c>
      <c r="G589" s="27"/>
      <c r="H589" s="47"/>
      <c r="I589" s="47"/>
      <c r="J589" s="229"/>
      <c r="K589" s="28"/>
      <c r="L589" s="28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</row>
    <row r="590" spans="1:27" ht="18.75">
      <c r="A590" s="121"/>
      <c r="B590" s="20" t="str">
        <f t="shared" si="9"/>
        <v>5280</v>
      </c>
      <c r="C590" s="21"/>
      <c r="D590" s="63" t="s">
        <v>3072</v>
      </c>
      <c r="E590" s="21">
        <v>40</v>
      </c>
      <c r="F590" s="46" t="s">
        <v>3073</v>
      </c>
      <c r="G590" s="27"/>
      <c r="H590" s="47"/>
      <c r="I590" s="47"/>
      <c r="J590" s="229"/>
      <c r="K590" s="28"/>
      <c r="L590" s="28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</row>
    <row r="591" spans="1:27" ht="18.75">
      <c r="A591" s="121"/>
      <c r="B591" s="20" t="str">
        <f t="shared" si="9"/>
        <v>6110</v>
      </c>
      <c r="C591" s="21"/>
      <c r="D591" s="63" t="s">
        <v>3074</v>
      </c>
      <c r="E591" s="21">
        <v>40</v>
      </c>
      <c r="F591" s="46" t="s">
        <v>3075</v>
      </c>
      <c r="G591" s="27"/>
      <c r="H591" s="47"/>
      <c r="I591" s="47"/>
      <c r="J591" s="229"/>
      <c r="K591" s="28"/>
      <c r="L591" s="28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</row>
    <row r="592" spans="1:27" ht="18.75">
      <c r="A592" s="121"/>
      <c r="B592" s="20" t="str">
        <f t="shared" si="9"/>
        <v>6110</v>
      </c>
      <c r="C592" s="21"/>
      <c r="D592" s="63" t="s">
        <v>3076</v>
      </c>
      <c r="E592" s="21">
        <v>40</v>
      </c>
      <c r="F592" s="46" t="s">
        <v>3077</v>
      </c>
      <c r="G592" s="27"/>
      <c r="H592" s="47"/>
      <c r="I592" s="47"/>
      <c r="J592" s="229"/>
      <c r="K592" s="28"/>
      <c r="L592" s="28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</row>
    <row r="593" spans="1:27" ht="18.75">
      <c r="A593" s="121"/>
      <c r="B593" s="20" t="str">
        <f t="shared" si="9"/>
        <v>6110</v>
      </c>
      <c r="C593" s="21"/>
      <c r="D593" s="63" t="s">
        <v>3078</v>
      </c>
      <c r="E593" s="21">
        <v>40</v>
      </c>
      <c r="F593" s="46" t="s">
        <v>3079</v>
      </c>
      <c r="G593" s="27"/>
      <c r="H593" s="47"/>
      <c r="I593" s="47"/>
      <c r="J593" s="229"/>
      <c r="K593" s="28"/>
      <c r="L593" s="28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</row>
    <row r="594" spans="1:27" ht="18.75">
      <c r="A594" s="121"/>
      <c r="B594" s="20" t="str">
        <f t="shared" si="9"/>
        <v>6110</v>
      </c>
      <c r="C594" s="21"/>
      <c r="D594" s="63" t="s">
        <v>3080</v>
      </c>
      <c r="E594" s="21">
        <v>40</v>
      </c>
      <c r="F594" s="46" t="s">
        <v>3081</v>
      </c>
      <c r="G594" s="27"/>
      <c r="H594" s="47"/>
      <c r="I594" s="47"/>
      <c r="J594" s="229"/>
      <c r="K594" s="28"/>
      <c r="L594" s="28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</row>
    <row r="595" spans="1:27" ht="37.5">
      <c r="A595" s="121"/>
      <c r="B595" s="20" t="str">
        <f t="shared" si="9"/>
        <v>6110</v>
      </c>
      <c r="C595" s="21"/>
      <c r="D595" s="63" t="s">
        <v>3082</v>
      </c>
      <c r="E595" s="21">
        <v>40</v>
      </c>
      <c r="F595" s="46" t="s">
        <v>3083</v>
      </c>
      <c r="G595" s="27"/>
      <c r="H595" s="47"/>
      <c r="I595" s="47"/>
      <c r="J595" s="229"/>
      <c r="K595" s="28"/>
      <c r="L595" s="28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</row>
    <row r="596" spans="1:27" ht="37.5">
      <c r="A596" s="121"/>
      <c r="B596" s="20" t="str">
        <f t="shared" si="9"/>
        <v>6110</v>
      </c>
      <c r="C596" s="21"/>
      <c r="D596" s="63" t="s">
        <v>3084</v>
      </c>
      <c r="E596" s="21">
        <v>40</v>
      </c>
      <c r="F596" s="46" t="s">
        <v>3085</v>
      </c>
      <c r="G596" s="27"/>
      <c r="H596" s="47"/>
      <c r="I596" s="47"/>
      <c r="J596" s="229"/>
      <c r="K596" s="28"/>
      <c r="L596" s="28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</row>
    <row r="597" spans="1:27" ht="37.5">
      <c r="A597" s="121"/>
      <c r="B597" s="20" t="str">
        <f t="shared" si="9"/>
        <v>6110</v>
      </c>
      <c r="C597" s="21"/>
      <c r="D597" s="63" t="s">
        <v>3086</v>
      </c>
      <c r="E597" s="21">
        <v>40</v>
      </c>
      <c r="F597" s="46" t="s">
        <v>3087</v>
      </c>
      <c r="G597" s="27"/>
      <c r="H597" s="47"/>
      <c r="I597" s="47"/>
      <c r="J597" s="229"/>
      <c r="K597" s="28"/>
      <c r="L597" s="28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</row>
    <row r="598" spans="1:27" ht="37.5">
      <c r="A598" s="121"/>
      <c r="B598" s="20" t="str">
        <f t="shared" si="9"/>
        <v>6115</v>
      </c>
      <c r="C598" s="21"/>
      <c r="D598" s="63" t="s">
        <v>3088</v>
      </c>
      <c r="E598" s="21">
        <v>40</v>
      </c>
      <c r="F598" s="46" t="s">
        <v>3089</v>
      </c>
      <c r="G598" s="27"/>
      <c r="H598" s="47"/>
      <c r="I598" s="47"/>
      <c r="J598" s="229"/>
      <c r="K598" s="28"/>
      <c r="L598" s="28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</row>
    <row r="599" spans="1:27" ht="37.5">
      <c r="A599" s="121"/>
      <c r="B599" s="20" t="str">
        <f t="shared" si="9"/>
        <v>6115</v>
      </c>
      <c r="C599" s="21"/>
      <c r="D599" s="63" t="s">
        <v>3090</v>
      </c>
      <c r="E599" s="21">
        <v>40</v>
      </c>
      <c r="F599" s="46" t="s">
        <v>3091</v>
      </c>
      <c r="G599" s="27"/>
      <c r="H599" s="47"/>
      <c r="I599" s="47"/>
      <c r="J599" s="229"/>
      <c r="K599" s="28"/>
      <c r="L599" s="28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</row>
    <row r="600" spans="1:27" ht="37.5">
      <c r="A600" s="121"/>
      <c r="B600" s="20" t="str">
        <f t="shared" si="9"/>
        <v>6115</v>
      </c>
      <c r="C600" s="21"/>
      <c r="D600" s="63" t="s">
        <v>3092</v>
      </c>
      <c r="E600" s="21">
        <v>40</v>
      </c>
      <c r="F600" s="46" t="s">
        <v>3093</v>
      </c>
      <c r="G600" s="27"/>
      <c r="H600" s="47"/>
      <c r="I600" s="47"/>
      <c r="J600" s="229"/>
      <c r="K600" s="28"/>
      <c r="L600" s="28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</row>
    <row r="601" spans="1:27" ht="37.5">
      <c r="A601" s="121"/>
      <c r="B601" s="20" t="str">
        <f t="shared" si="9"/>
        <v>6115</v>
      </c>
      <c r="C601" s="21"/>
      <c r="D601" s="63" t="s">
        <v>3094</v>
      </c>
      <c r="E601" s="21">
        <v>40</v>
      </c>
      <c r="F601" s="46" t="s">
        <v>3095</v>
      </c>
      <c r="G601" s="27"/>
      <c r="H601" s="47"/>
      <c r="I601" s="47"/>
      <c r="J601" s="229"/>
      <c r="K601" s="28"/>
      <c r="L601" s="28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</row>
    <row r="602" spans="1:27" ht="37.5">
      <c r="A602" s="121"/>
      <c r="B602" s="20" t="str">
        <f t="shared" si="9"/>
        <v>6115</v>
      </c>
      <c r="C602" s="21"/>
      <c r="D602" s="63" t="s">
        <v>3096</v>
      </c>
      <c r="E602" s="21">
        <v>40</v>
      </c>
      <c r="F602" s="46" t="s">
        <v>3097</v>
      </c>
      <c r="G602" s="27"/>
      <c r="H602" s="47"/>
      <c r="I602" s="47"/>
      <c r="J602" s="229"/>
      <c r="K602" s="28"/>
      <c r="L602" s="28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</row>
    <row r="603" spans="1:27" ht="37.5">
      <c r="A603" s="121"/>
      <c r="B603" s="20" t="str">
        <f t="shared" si="9"/>
        <v>6115</v>
      </c>
      <c r="C603" s="21"/>
      <c r="D603" s="63" t="s">
        <v>3098</v>
      </c>
      <c r="E603" s="21">
        <v>40</v>
      </c>
      <c r="F603" s="46" t="s">
        <v>3097</v>
      </c>
      <c r="G603" s="27"/>
      <c r="H603" s="47"/>
      <c r="I603" s="47"/>
      <c r="J603" s="229"/>
      <c r="K603" s="28"/>
      <c r="L603" s="28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</row>
    <row r="604" spans="1:27" ht="37.5">
      <c r="A604" s="121"/>
      <c r="B604" s="20" t="str">
        <f t="shared" si="9"/>
        <v>6115</v>
      </c>
      <c r="C604" s="21"/>
      <c r="D604" s="63" t="s">
        <v>3099</v>
      </c>
      <c r="E604" s="21">
        <v>40</v>
      </c>
      <c r="F604" s="46" t="s">
        <v>3100</v>
      </c>
      <c r="G604" s="27"/>
      <c r="H604" s="47"/>
      <c r="I604" s="47"/>
      <c r="J604" s="229"/>
      <c r="K604" s="28"/>
      <c r="L604" s="28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</row>
    <row r="605" spans="1:27" ht="18.75">
      <c r="A605" s="121"/>
      <c r="B605" s="20" t="str">
        <f t="shared" si="9"/>
        <v>6210</v>
      </c>
      <c r="C605" s="21"/>
      <c r="D605" s="63" t="s">
        <v>3101</v>
      </c>
      <c r="E605" s="21">
        <v>40</v>
      </c>
      <c r="F605" s="46" t="s">
        <v>3102</v>
      </c>
      <c r="G605" s="27"/>
      <c r="H605" s="47"/>
      <c r="I605" s="47"/>
      <c r="J605" s="229"/>
      <c r="K605" s="28"/>
      <c r="L605" s="28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</row>
    <row r="606" spans="1:27" ht="18.75">
      <c r="A606" s="121"/>
      <c r="B606" s="20" t="str">
        <f t="shared" si="9"/>
        <v>6620</v>
      </c>
      <c r="C606" s="21"/>
      <c r="D606" s="63" t="s">
        <v>3103</v>
      </c>
      <c r="E606" s="21">
        <v>40</v>
      </c>
      <c r="F606" s="46" t="s">
        <v>3104</v>
      </c>
      <c r="G606" s="27"/>
      <c r="H606" s="47"/>
      <c r="I606" s="47"/>
      <c r="J606" s="229"/>
      <c r="K606" s="28"/>
      <c r="L606" s="28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</row>
    <row r="607" spans="1:27" ht="18.75">
      <c r="A607" s="121"/>
      <c r="B607" s="20" t="str">
        <f t="shared" si="9"/>
        <v>6620</v>
      </c>
      <c r="C607" s="21"/>
      <c r="D607" s="63" t="s">
        <v>3105</v>
      </c>
      <c r="E607" s="21">
        <v>40</v>
      </c>
      <c r="F607" s="46" t="s">
        <v>3106</v>
      </c>
      <c r="G607" s="27"/>
      <c r="H607" s="47"/>
      <c r="I607" s="47"/>
      <c r="J607" s="229"/>
      <c r="K607" s="28"/>
      <c r="L607" s="28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</row>
    <row r="608" spans="1:27" ht="18.75">
      <c r="A608" s="121"/>
      <c r="B608" s="20" t="str">
        <f t="shared" si="9"/>
        <v>6620</v>
      </c>
      <c r="C608" s="21"/>
      <c r="D608" s="63" t="s">
        <v>3107</v>
      </c>
      <c r="E608" s="21">
        <v>40</v>
      </c>
      <c r="F608" s="46" t="s">
        <v>3108</v>
      </c>
      <c r="G608" s="27"/>
      <c r="H608" s="47"/>
      <c r="I608" s="47"/>
      <c r="J608" s="229"/>
      <c r="K608" s="28"/>
      <c r="L608" s="28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</row>
    <row r="609" spans="1:27" ht="18.75">
      <c r="A609" s="121"/>
      <c r="B609" s="20" t="str">
        <f t="shared" si="9"/>
        <v>6630</v>
      </c>
      <c r="C609" s="21"/>
      <c r="D609" s="63" t="s">
        <v>3109</v>
      </c>
      <c r="E609" s="21">
        <v>40</v>
      </c>
      <c r="F609" s="46" t="s">
        <v>3110</v>
      </c>
      <c r="G609" s="27"/>
      <c r="H609" s="47"/>
      <c r="I609" s="47"/>
      <c r="J609" s="229"/>
      <c r="K609" s="28"/>
      <c r="L609" s="28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</row>
    <row r="610" spans="1:27" ht="18.75">
      <c r="A610" s="121"/>
      <c r="B610" s="20" t="str">
        <f t="shared" si="9"/>
        <v>6630</v>
      </c>
      <c r="C610" s="21"/>
      <c r="D610" s="63" t="s">
        <v>3111</v>
      </c>
      <c r="E610" s="21">
        <v>40</v>
      </c>
      <c r="F610" s="46" t="s">
        <v>3112</v>
      </c>
      <c r="G610" s="27"/>
      <c r="H610" s="47"/>
      <c r="I610" s="47"/>
      <c r="J610" s="229"/>
      <c r="K610" s="28"/>
      <c r="L610" s="28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</row>
    <row r="611" spans="1:27" ht="18.75">
      <c r="A611" s="121"/>
      <c r="B611" s="20" t="str">
        <f t="shared" si="9"/>
        <v>6630</v>
      </c>
      <c r="C611" s="21"/>
      <c r="D611" s="63" t="s">
        <v>3113</v>
      </c>
      <c r="E611" s="21">
        <v>40</v>
      </c>
      <c r="F611" s="46" t="s">
        <v>3114</v>
      </c>
      <c r="G611" s="27"/>
      <c r="H611" s="47"/>
      <c r="I611" s="47"/>
      <c r="J611" s="229"/>
      <c r="K611" s="28"/>
      <c r="L611" s="28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</row>
    <row r="612" spans="1:27" ht="18.75">
      <c r="A612" s="121"/>
      <c r="B612" s="20" t="str">
        <f t="shared" si="9"/>
        <v>6630</v>
      </c>
      <c r="C612" s="21"/>
      <c r="D612" s="63" t="s">
        <v>3115</v>
      </c>
      <c r="E612" s="21">
        <v>40</v>
      </c>
      <c r="F612" s="46" t="s">
        <v>3116</v>
      </c>
      <c r="G612" s="27"/>
      <c r="H612" s="47"/>
      <c r="I612" s="47"/>
      <c r="J612" s="229"/>
      <c r="K612" s="28"/>
      <c r="L612" s="28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</row>
    <row r="613" spans="1:27" ht="18.75">
      <c r="A613" s="121"/>
      <c r="B613" s="20" t="str">
        <f t="shared" si="9"/>
        <v>6635</v>
      </c>
      <c r="C613" s="21"/>
      <c r="D613" s="63" t="s">
        <v>3117</v>
      </c>
      <c r="E613" s="21">
        <v>40</v>
      </c>
      <c r="F613" s="46" t="s">
        <v>3118</v>
      </c>
      <c r="G613" s="27"/>
      <c r="H613" s="47"/>
      <c r="I613" s="47"/>
      <c r="J613" s="229"/>
      <c r="K613" s="28"/>
      <c r="L613" s="28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</row>
    <row r="614" spans="1:27" ht="18.75">
      <c r="A614" s="121"/>
      <c r="B614" s="20" t="str">
        <f t="shared" si="9"/>
        <v>2320</v>
      </c>
      <c r="C614" s="21"/>
      <c r="D614" s="63" t="s">
        <v>3119</v>
      </c>
      <c r="E614" s="21">
        <v>41</v>
      </c>
      <c r="F614" s="46" t="s">
        <v>3120</v>
      </c>
      <c r="G614" s="27"/>
      <c r="H614" s="47"/>
      <c r="I614" s="47"/>
      <c r="J614" s="229"/>
      <c r="K614" s="28"/>
      <c r="L614" s="28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</row>
    <row r="615" spans="1:27" ht="18.75">
      <c r="A615" s="121"/>
      <c r="B615" s="20" t="str">
        <f t="shared" si="9"/>
        <v>3432</v>
      </c>
      <c r="C615" s="21"/>
      <c r="D615" s="63" t="s">
        <v>3121</v>
      </c>
      <c r="E615" s="21">
        <v>41</v>
      </c>
      <c r="F615" s="46" t="s">
        <v>3122</v>
      </c>
      <c r="G615" s="27"/>
      <c r="H615" s="47"/>
      <c r="I615" s="47"/>
      <c r="J615" s="229"/>
      <c r="K615" s="28"/>
      <c r="L615" s="28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</row>
    <row r="616" spans="1:27" ht="18.75">
      <c r="A616" s="121"/>
      <c r="B616" s="20" t="str">
        <f t="shared" si="9"/>
        <v>3805</v>
      </c>
      <c r="C616" s="21"/>
      <c r="D616" s="63" t="s">
        <v>3123</v>
      </c>
      <c r="E616" s="21">
        <v>41</v>
      </c>
      <c r="F616" s="46" t="s">
        <v>3124</v>
      </c>
      <c r="G616" s="27"/>
      <c r="H616" s="47"/>
      <c r="I616" s="47"/>
      <c r="J616" s="229"/>
      <c r="K616" s="28"/>
      <c r="L616" s="28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</row>
    <row r="617" spans="1:27" ht="18.75">
      <c r="A617" s="121"/>
      <c r="B617" s="20" t="str">
        <f t="shared" si="9"/>
        <v>3960</v>
      </c>
      <c r="C617" s="21"/>
      <c r="D617" s="63" t="s">
        <v>3125</v>
      </c>
      <c r="E617" s="21">
        <v>41</v>
      </c>
      <c r="F617" s="46" t="s">
        <v>3126</v>
      </c>
      <c r="G617" s="27"/>
      <c r="H617" s="47"/>
      <c r="I617" s="47"/>
      <c r="J617" s="229"/>
      <c r="K617" s="28"/>
      <c r="L617" s="28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</row>
    <row r="618" spans="1:27" ht="37.5">
      <c r="A618" s="121"/>
      <c r="B618" s="20" t="str">
        <f t="shared" si="9"/>
        <v>4120</v>
      </c>
      <c r="C618" s="21"/>
      <c r="D618" s="63" t="s">
        <v>3127</v>
      </c>
      <c r="E618" s="21">
        <v>41</v>
      </c>
      <c r="F618" s="46" t="s">
        <v>3128</v>
      </c>
      <c r="G618" s="27"/>
      <c r="H618" s="47"/>
      <c r="I618" s="47"/>
      <c r="J618" s="229"/>
      <c r="K618" s="28"/>
      <c r="L618" s="28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</row>
    <row r="619" spans="1:27" ht="37.5">
      <c r="A619" s="121"/>
      <c r="B619" s="20" t="str">
        <f t="shared" si="9"/>
        <v>4120</v>
      </c>
      <c r="C619" s="21"/>
      <c r="D619" s="63" t="s">
        <v>3129</v>
      </c>
      <c r="E619" s="21">
        <v>41</v>
      </c>
      <c r="F619" s="46" t="s">
        <v>3130</v>
      </c>
      <c r="G619" s="27"/>
      <c r="H619" s="47"/>
      <c r="I619" s="47"/>
      <c r="J619" s="229"/>
      <c r="K619" s="28"/>
      <c r="L619" s="28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</row>
    <row r="620" spans="1:27" ht="37.5">
      <c r="A620" s="121"/>
      <c r="B620" s="20" t="str">
        <f t="shared" si="9"/>
        <v>4120</v>
      </c>
      <c r="C620" s="21"/>
      <c r="D620" s="63" t="s">
        <v>3131</v>
      </c>
      <c r="E620" s="21">
        <v>41</v>
      </c>
      <c r="F620" s="46" t="s">
        <v>3132</v>
      </c>
      <c r="G620" s="27"/>
      <c r="H620" s="47"/>
      <c r="I620" s="47"/>
      <c r="J620" s="229"/>
      <c r="K620" s="28"/>
      <c r="L620" s="28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</row>
    <row r="621" spans="1:27" ht="18.75">
      <c r="A621" s="121"/>
      <c r="B621" s="20" t="str">
        <f t="shared" si="9"/>
        <v>4310</v>
      </c>
      <c r="C621" s="21"/>
      <c r="D621" s="63" t="s">
        <v>3133</v>
      </c>
      <c r="E621" s="21">
        <v>41</v>
      </c>
      <c r="F621" s="46" t="s">
        <v>3134</v>
      </c>
      <c r="G621" s="27"/>
      <c r="H621" s="47"/>
      <c r="I621" s="47"/>
      <c r="J621" s="229"/>
      <c r="K621" s="28"/>
      <c r="L621" s="28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</row>
    <row r="622" spans="1:27" ht="18.75">
      <c r="A622" s="121"/>
      <c r="B622" s="20" t="str">
        <f t="shared" si="9"/>
        <v>4320</v>
      </c>
      <c r="C622" s="21"/>
      <c r="D622" s="63" t="s">
        <v>3135</v>
      </c>
      <c r="E622" s="21">
        <v>41</v>
      </c>
      <c r="F622" s="46" t="s">
        <v>3136</v>
      </c>
      <c r="G622" s="27"/>
      <c r="H622" s="47"/>
      <c r="I622" s="47"/>
      <c r="J622" s="229"/>
      <c r="K622" s="28"/>
      <c r="L622" s="28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</row>
    <row r="623" spans="1:27" ht="18.75">
      <c r="A623" s="121"/>
      <c r="B623" s="20" t="str">
        <f t="shared" si="9"/>
        <v>4320</v>
      </c>
      <c r="C623" s="21"/>
      <c r="D623" s="63" t="s">
        <v>3137</v>
      </c>
      <c r="E623" s="21">
        <v>41</v>
      </c>
      <c r="F623" s="46" t="s">
        <v>3138</v>
      </c>
      <c r="G623" s="27"/>
      <c r="H623" s="47"/>
      <c r="I623" s="47"/>
      <c r="J623" s="229"/>
      <c r="K623" s="28"/>
      <c r="L623" s="28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</row>
    <row r="624" spans="1:27" ht="37.5">
      <c r="A624" s="121"/>
      <c r="B624" s="20" t="str">
        <f t="shared" si="9"/>
        <v>4320</v>
      </c>
      <c r="C624" s="21"/>
      <c r="D624" s="63" t="s">
        <v>3139</v>
      </c>
      <c r="E624" s="21">
        <v>41</v>
      </c>
      <c r="F624" s="46" t="s">
        <v>3140</v>
      </c>
      <c r="G624" s="27"/>
      <c r="H624" s="47"/>
      <c r="I624" s="47"/>
      <c r="J624" s="229"/>
      <c r="K624" s="28"/>
      <c r="L624" s="28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</row>
    <row r="625" spans="1:27" ht="37.5">
      <c r="A625" s="121"/>
      <c r="B625" s="20" t="str">
        <f t="shared" si="9"/>
        <v>4320</v>
      </c>
      <c r="C625" s="21"/>
      <c r="D625" s="63" t="s">
        <v>3142</v>
      </c>
      <c r="E625" s="21">
        <v>41</v>
      </c>
      <c r="F625" s="46" t="s">
        <v>3143</v>
      </c>
      <c r="G625" s="27"/>
      <c r="H625" s="47"/>
      <c r="I625" s="47"/>
      <c r="J625" s="229"/>
      <c r="K625" s="28"/>
      <c r="L625" s="28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</row>
    <row r="626" spans="1:27" ht="37.5">
      <c r="A626" s="121"/>
      <c r="B626" s="20" t="str">
        <f t="shared" si="9"/>
        <v>4320</v>
      </c>
      <c r="C626" s="21"/>
      <c r="D626" s="63" t="s">
        <v>3144</v>
      </c>
      <c r="E626" s="21">
        <v>41</v>
      </c>
      <c r="F626" s="46" t="s">
        <v>3145</v>
      </c>
      <c r="G626" s="27"/>
      <c r="H626" s="47"/>
      <c r="I626" s="47"/>
      <c r="J626" s="229"/>
      <c r="K626" s="28"/>
      <c r="L626" s="28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</row>
    <row r="627" spans="1:27" ht="37.5">
      <c r="A627" s="121"/>
      <c r="B627" s="20" t="str">
        <f t="shared" si="9"/>
        <v>4320</v>
      </c>
      <c r="C627" s="21"/>
      <c r="D627" s="63" t="s">
        <v>3146</v>
      </c>
      <c r="E627" s="21">
        <v>41</v>
      </c>
      <c r="F627" s="46" t="s">
        <v>3147</v>
      </c>
      <c r="G627" s="27"/>
      <c r="H627" s="47"/>
      <c r="I627" s="47"/>
      <c r="J627" s="229"/>
      <c r="K627" s="28"/>
      <c r="L627" s="28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</row>
    <row r="628" spans="1:27" ht="37.5">
      <c r="A628" s="121"/>
      <c r="B628" s="20" t="str">
        <f t="shared" si="9"/>
        <v>4460</v>
      </c>
      <c r="C628" s="21"/>
      <c r="D628" s="63" t="s">
        <v>3148</v>
      </c>
      <c r="E628" s="21">
        <v>41</v>
      </c>
      <c r="F628" s="46" t="s">
        <v>3149</v>
      </c>
      <c r="G628" s="27"/>
      <c r="H628" s="47"/>
      <c r="I628" s="47"/>
      <c r="J628" s="229"/>
      <c r="K628" s="28"/>
      <c r="L628" s="28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</row>
    <row r="629" spans="1:27" ht="18.75">
      <c r="A629" s="121"/>
      <c r="B629" s="20" t="str">
        <f t="shared" si="9"/>
        <v>4610</v>
      </c>
      <c r="C629" s="21"/>
      <c r="D629" s="63" t="s">
        <v>3151</v>
      </c>
      <c r="E629" s="21">
        <v>41</v>
      </c>
      <c r="F629" s="46" t="s">
        <v>3152</v>
      </c>
      <c r="G629" s="27"/>
      <c r="H629" s="47"/>
      <c r="I629" s="47"/>
      <c r="J629" s="229"/>
      <c r="K629" s="28"/>
      <c r="L629" s="28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</row>
    <row r="630" spans="1:27" ht="37.5">
      <c r="A630" s="121"/>
      <c r="B630" s="20" t="str">
        <f t="shared" si="9"/>
        <v>5130</v>
      </c>
      <c r="C630" s="21"/>
      <c r="D630" s="63" t="s">
        <v>3153</v>
      </c>
      <c r="E630" s="21">
        <v>41</v>
      </c>
      <c r="F630" s="46" t="s">
        <v>3154</v>
      </c>
      <c r="G630" s="27"/>
      <c r="H630" s="47"/>
      <c r="I630" s="47"/>
      <c r="J630" s="229"/>
      <c r="K630" s="28"/>
      <c r="L630" s="28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</row>
    <row r="631" spans="1:27" ht="18.75">
      <c r="A631" s="121"/>
      <c r="B631" s="20" t="str">
        <f t="shared" si="9"/>
        <v>5130</v>
      </c>
      <c r="C631" s="21"/>
      <c r="D631" s="63" t="s">
        <v>3155</v>
      </c>
      <c r="E631" s="21">
        <v>41</v>
      </c>
      <c r="F631" s="46" t="s">
        <v>3157</v>
      </c>
      <c r="G631" s="27"/>
      <c r="H631" s="47"/>
      <c r="I631" s="47"/>
      <c r="J631" s="229"/>
      <c r="K631" s="28"/>
      <c r="L631" s="28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</row>
    <row r="632" spans="1:27" ht="37.5">
      <c r="A632" s="121"/>
      <c r="B632" s="20" t="str">
        <f t="shared" si="9"/>
        <v>5280</v>
      </c>
      <c r="C632" s="21"/>
      <c r="D632" s="63" t="s">
        <v>3160</v>
      </c>
      <c r="E632" s="21">
        <v>41</v>
      </c>
      <c r="F632" s="46" t="s">
        <v>3161</v>
      </c>
      <c r="G632" s="27"/>
      <c r="H632" s="47"/>
      <c r="I632" s="47"/>
      <c r="J632" s="229"/>
      <c r="K632" s="28"/>
      <c r="L632" s="28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</row>
    <row r="633" spans="1:27" ht="37.5">
      <c r="A633" s="121"/>
      <c r="B633" s="20" t="str">
        <f t="shared" si="9"/>
        <v>5280</v>
      </c>
      <c r="C633" s="21"/>
      <c r="D633" s="63" t="s">
        <v>3162</v>
      </c>
      <c r="E633" s="21">
        <v>41</v>
      </c>
      <c r="F633" s="46" t="s">
        <v>3163</v>
      </c>
      <c r="G633" s="27"/>
      <c r="H633" s="47"/>
      <c r="I633" s="47"/>
      <c r="J633" s="229"/>
      <c r="K633" s="28"/>
      <c r="L633" s="28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</row>
    <row r="634" spans="1:27" ht="37.5">
      <c r="A634" s="121"/>
      <c r="B634" s="20" t="str">
        <f t="shared" si="9"/>
        <v>6110</v>
      </c>
      <c r="C634" s="21"/>
      <c r="D634" s="63" t="s">
        <v>3164</v>
      </c>
      <c r="E634" s="21">
        <v>41</v>
      </c>
      <c r="F634" s="46" t="s">
        <v>3165</v>
      </c>
      <c r="G634" s="27"/>
      <c r="H634" s="47"/>
      <c r="I634" s="47"/>
      <c r="J634" s="229"/>
      <c r="K634" s="28"/>
      <c r="L634" s="28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</row>
    <row r="635" spans="1:27" ht="37.5">
      <c r="A635" s="121"/>
      <c r="B635" s="20" t="str">
        <f t="shared" si="9"/>
        <v>6110</v>
      </c>
      <c r="C635" s="21"/>
      <c r="D635" s="63" t="s">
        <v>3167</v>
      </c>
      <c r="E635" s="21">
        <v>41</v>
      </c>
      <c r="F635" s="46" t="s">
        <v>3168</v>
      </c>
      <c r="G635" s="27"/>
      <c r="H635" s="47"/>
      <c r="I635" s="47"/>
      <c r="J635" s="229"/>
      <c r="K635" s="28"/>
      <c r="L635" s="28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</row>
    <row r="636" spans="1:27" ht="37.5">
      <c r="A636" s="121"/>
      <c r="B636" s="20" t="str">
        <f t="shared" si="9"/>
        <v>6115</v>
      </c>
      <c r="C636" s="21"/>
      <c r="D636" s="63" t="s">
        <v>3169</v>
      </c>
      <c r="E636" s="21">
        <v>41</v>
      </c>
      <c r="F636" s="46" t="s">
        <v>3170</v>
      </c>
      <c r="G636" s="27"/>
      <c r="H636" s="47"/>
      <c r="I636" s="47"/>
      <c r="J636" s="229"/>
      <c r="K636" s="28"/>
      <c r="L636" s="28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</row>
    <row r="637" spans="1:27" ht="37.5">
      <c r="A637" s="121"/>
      <c r="B637" s="20" t="str">
        <f t="shared" si="9"/>
        <v>6115</v>
      </c>
      <c r="C637" s="21"/>
      <c r="D637" s="63" t="s">
        <v>3171</v>
      </c>
      <c r="E637" s="21">
        <v>41</v>
      </c>
      <c r="F637" s="46" t="s">
        <v>3172</v>
      </c>
      <c r="G637" s="27"/>
      <c r="H637" s="47"/>
      <c r="I637" s="47"/>
      <c r="J637" s="229"/>
      <c r="K637" s="28"/>
      <c r="L637" s="28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</row>
    <row r="638" spans="1:27" ht="37.5">
      <c r="A638" s="121"/>
      <c r="B638" s="20" t="str">
        <f t="shared" si="9"/>
        <v>6115</v>
      </c>
      <c r="C638" s="21"/>
      <c r="D638" s="63" t="s">
        <v>3173</v>
      </c>
      <c r="E638" s="21">
        <v>41</v>
      </c>
      <c r="F638" s="46" t="s">
        <v>3174</v>
      </c>
      <c r="G638" s="27"/>
      <c r="H638" s="47"/>
      <c r="I638" s="47"/>
      <c r="J638" s="229"/>
      <c r="K638" s="28"/>
      <c r="L638" s="28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</row>
    <row r="639" spans="1:27" ht="37.5">
      <c r="A639" s="121"/>
      <c r="B639" s="20" t="str">
        <f t="shared" si="9"/>
        <v>6115</v>
      </c>
      <c r="C639" s="21"/>
      <c r="D639" s="63" t="s">
        <v>3175</v>
      </c>
      <c r="E639" s="21">
        <v>41</v>
      </c>
      <c r="F639" s="46" t="s">
        <v>3176</v>
      </c>
      <c r="G639" s="27"/>
      <c r="H639" s="47"/>
      <c r="I639" s="47"/>
      <c r="J639" s="229"/>
      <c r="K639" s="28"/>
      <c r="L639" s="28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</row>
    <row r="640" spans="1:27" ht="37.5">
      <c r="A640" s="121"/>
      <c r="B640" s="20" t="str">
        <f t="shared" si="9"/>
        <v>6115</v>
      </c>
      <c r="C640" s="21"/>
      <c r="D640" s="63" t="s">
        <v>3178</v>
      </c>
      <c r="E640" s="21">
        <v>41</v>
      </c>
      <c r="F640" s="46" t="s">
        <v>3179</v>
      </c>
      <c r="G640" s="27"/>
      <c r="H640" s="47"/>
      <c r="I640" s="47"/>
      <c r="J640" s="229"/>
      <c r="K640" s="28"/>
      <c r="L640" s="28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</row>
    <row r="641" spans="1:27" ht="37.5">
      <c r="A641" s="121"/>
      <c r="B641" s="20" t="str">
        <f t="shared" si="9"/>
        <v>6115</v>
      </c>
      <c r="C641" s="21"/>
      <c r="D641" s="63" t="s">
        <v>3180</v>
      </c>
      <c r="E641" s="21">
        <v>41</v>
      </c>
      <c r="F641" s="46" t="s">
        <v>3181</v>
      </c>
      <c r="G641" s="27"/>
      <c r="H641" s="47"/>
      <c r="I641" s="47"/>
      <c r="J641" s="229"/>
      <c r="K641" s="28"/>
      <c r="L641" s="28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</row>
    <row r="642" spans="1:27" ht="18.75">
      <c r="A642" s="121"/>
      <c r="B642" s="20" t="str">
        <f t="shared" ref="B642:B705" si="10">LEFT(D642, SEARCH("",D642,4))</f>
        <v>2320</v>
      </c>
      <c r="C642" s="21"/>
      <c r="D642" s="63" t="s">
        <v>3183</v>
      </c>
      <c r="E642" s="21">
        <v>42</v>
      </c>
      <c r="F642" s="46" t="s">
        <v>3184</v>
      </c>
      <c r="G642" s="27"/>
      <c r="H642" s="47"/>
      <c r="I642" s="47"/>
      <c r="J642" s="229"/>
      <c r="K642" s="28"/>
      <c r="L642" s="28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</row>
    <row r="643" spans="1:27" ht="18.75">
      <c r="A643" s="121"/>
      <c r="B643" s="20" t="str">
        <f t="shared" si="10"/>
        <v>2320</v>
      </c>
      <c r="C643" s="21"/>
      <c r="D643" s="63" t="s">
        <v>3185</v>
      </c>
      <c r="E643" s="21">
        <v>42</v>
      </c>
      <c r="F643" s="46" t="s">
        <v>3186</v>
      </c>
      <c r="G643" s="27"/>
      <c r="H643" s="47"/>
      <c r="I643" s="47"/>
      <c r="J643" s="229"/>
      <c r="K643" s="28"/>
      <c r="L643" s="28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</row>
    <row r="644" spans="1:27" ht="18.75">
      <c r="A644" s="121"/>
      <c r="B644" s="20" t="str">
        <f t="shared" si="10"/>
        <v>2320</v>
      </c>
      <c r="C644" s="21"/>
      <c r="D644" s="63" t="s">
        <v>3188</v>
      </c>
      <c r="E644" s="21">
        <v>42</v>
      </c>
      <c r="F644" s="46" t="s">
        <v>3189</v>
      </c>
      <c r="G644" s="27"/>
      <c r="H644" s="47"/>
      <c r="I644" s="47"/>
      <c r="J644" s="229"/>
      <c r="K644" s="28"/>
      <c r="L644" s="28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</row>
    <row r="645" spans="1:27" ht="18.75">
      <c r="A645" s="121"/>
      <c r="B645" s="20" t="str">
        <f t="shared" si="10"/>
        <v>2320</v>
      </c>
      <c r="C645" s="21"/>
      <c r="D645" s="63" t="s">
        <v>3190</v>
      </c>
      <c r="E645" s="21">
        <v>42</v>
      </c>
      <c r="F645" s="46" t="s">
        <v>3191</v>
      </c>
      <c r="G645" s="27"/>
      <c r="H645" s="47"/>
      <c r="I645" s="47"/>
      <c r="J645" s="229"/>
      <c r="K645" s="28"/>
      <c r="L645" s="28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</row>
    <row r="646" spans="1:27" ht="18.75">
      <c r="A646" s="121"/>
      <c r="B646" s="20" t="str">
        <f t="shared" si="10"/>
        <v>2320</v>
      </c>
      <c r="C646" s="21"/>
      <c r="D646" s="63" t="s">
        <v>3193</v>
      </c>
      <c r="E646" s="21">
        <v>42</v>
      </c>
      <c r="F646" s="46" t="s">
        <v>3195</v>
      </c>
      <c r="G646" s="27"/>
      <c r="H646" s="47"/>
      <c r="I646" s="47"/>
      <c r="J646" s="229"/>
      <c r="K646" s="28"/>
      <c r="L646" s="28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</row>
    <row r="647" spans="1:27" ht="18.75">
      <c r="A647" s="121"/>
      <c r="B647" s="20" t="str">
        <f t="shared" si="10"/>
        <v>2320</v>
      </c>
      <c r="C647" s="21"/>
      <c r="D647" s="63" t="s">
        <v>3197</v>
      </c>
      <c r="E647" s="21">
        <v>42</v>
      </c>
      <c r="F647" s="46" t="s">
        <v>3120</v>
      </c>
      <c r="G647" s="27"/>
      <c r="H647" s="47"/>
      <c r="I647" s="47"/>
      <c r="J647" s="229"/>
      <c r="K647" s="28"/>
      <c r="L647" s="28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</row>
    <row r="648" spans="1:27" ht="18.75">
      <c r="A648" s="121"/>
      <c r="B648" s="20" t="str">
        <f t="shared" si="10"/>
        <v>2320</v>
      </c>
      <c r="C648" s="21"/>
      <c r="D648" s="63" t="s">
        <v>3198</v>
      </c>
      <c r="E648" s="21">
        <v>42</v>
      </c>
      <c r="F648" s="46" t="s">
        <v>3120</v>
      </c>
      <c r="G648" s="27"/>
      <c r="H648" s="47"/>
      <c r="I648" s="47"/>
      <c r="J648" s="229"/>
      <c r="K648" s="28"/>
      <c r="L648" s="28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</row>
    <row r="649" spans="1:27" ht="18.75">
      <c r="A649" s="121"/>
      <c r="B649" s="20" t="str">
        <f t="shared" si="10"/>
        <v>2320</v>
      </c>
      <c r="C649" s="21"/>
      <c r="D649" s="63" t="s">
        <v>3200</v>
      </c>
      <c r="E649" s="21">
        <v>42</v>
      </c>
      <c r="F649" s="46" t="s">
        <v>3201</v>
      </c>
      <c r="G649" s="27"/>
      <c r="H649" s="47"/>
      <c r="I649" s="47"/>
      <c r="J649" s="229"/>
      <c r="K649" s="28"/>
      <c r="L649" s="28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</row>
    <row r="650" spans="1:27" ht="18.75">
      <c r="A650" s="121"/>
      <c r="B650" s="20" t="str">
        <f t="shared" si="10"/>
        <v>3805</v>
      </c>
      <c r="C650" s="21"/>
      <c r="D650" s="63" t="s">
        <v>3202</v>
      </c>
      <c r="E650" s="21">
        <v>42</v>
      </c>
      <c r="F650" s="46" t="s">
        <v>3203</v>
      </c>
      <c r="G650" s="27"/>
      <c r="H650" s="47"/>
      <c r="I650" s="47"/>
      <c r="J650" s="229"/>
      <c r="K650" s="28"/>
      <c r="L650" s="28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</row>
    <row r="651" spans="1:27" ht="18.75">
      <c r="A651" s="121"/>
      <c r="B651" s="20" t="str">
        <f t="shared" si="10"/>
        <v>3810</v>
      </c>
      <c r="C651" s="21"/>
      <c r="D651" s="63" t="s">
        <v>3205</v>
      </c>
      <c r="E651" s="21">
        <v>42</v>
      </c>
      <c r="F651" s="46" t="s">
        <v>3206</v>
      </c>
      <c r="G651" s="27"/>
      <c r="H651" s="47"/>
      <c r="I651" s="47"/>
      <c r="J651" s="229"/>
      <c r="K651" s="28"/>
      <c r="L651" s="28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</row>
    <row r="652" spans="1:27" ht="18.75">
      <c r="A652" s="121"/>
      <c r="B652" s="20" t="str">
        <f t="shared" si="10"/>
        <v>3825</v>
      </c>
      <c r="C652" s="21"/>
      <c r="D652" s="63" t="s">
        <v>3208</v>
      </c>
      <c r="E652" s="21">
        <v>42</v>
      </c>
      <c r="F652" s="46" t="s">
        <v>3209</v>
      </c>
      <c r="G652" s="27"/>
      <c r="H652" s="47"/>
      <c r="I652" s="47"/>
      <c r="J652" s="229"/>
      <c r="K652" s="28"/>
      <c r="L652" s="28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</row>
    <row r="653" spans="1:27" ht="18.75">
      <c r="A653" s="121"/>
      <c r="B653" s="20" t="str">
        <f t="shared" si="10"/>
        <v>3930</v>
      </c>
      <c r="C653" s="21"/>
      <c r="D653" s="63" t="s">
        <v>3211</v>
      </c>
      <c r="E653" s="21">
        <v>42</v>
      </c>
      <c r="F653" s="46" t="s">
        <v>3212</v>
      </c>
      <c r="G653" s="27"/>
      <c r="H653" s="47"/>
      <c r="I653" s="47"/>
      <c r="J653" s="229"/>
      <c r="K653" s="28"/>
      <c r="L653" s="28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</row>
    <row r="654" spans="1:27" ht="37.5">
      <c r="A654" s="121"/>
      <c r="B654" s="20" t="str">
        <f t="shared" si="10"/>
        <v>4120</v>
      </c>
      <c r="C654" s="21"/>
      <c r="D654" s="63" t="s">
        <v>3214</v>
      </c>
      <c r="E654" s="21">
        <v>42</v>
      </c>
      <c r="F654" s="46" t="s">
        <v>3215</v>
      </c>
      <c r="G654" s="27"/>
      <c r="H654" s="47"/>
      <c r="I654" s="47"/>
      <c r="J654" s="229"/>
      <c r="K654" s="28"/>
      <c r="L654" s="28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</row>
    <row r="655" spans="1:27" ht="37.5">
      <c r="A655" s="121"/>
      <c r="B655" s="20" t="str">
        <f t="shared" si="10"/>
        <v>4120</v>
      </c>
      <c r="C655" s="21"/>
      <c r="D655" s="63" t="s">
        <v>3217</v>
      </c>
      <c r="E655" s="21">
        <v>42</v>
      </c>
      <c r="F655" s="46" t="s">
        <v>3218</v>
      </c>
      <c r="G655" s="27"/>
      <c r="H655" s="47"/>
      <c r="I655" s="47"/>
      <c r="J655" s="229"/>
      <c r="K655" s="28"/>
      <c r="L655" s="28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</row>
    <row r="656" spans="1:27" ht="37.5">
      <c r="A656" s="121"/>
      <c r="B656" s="20" t="str">
        <f t="shared" si="10"/>
        <v>4120</v>
      </c>
      <c r="C656" s="21"/>
      <c r="D656" s="63" t="s">
        <v>3219</v>
      </c>
      <c r="E656" s="21">
        <v>42</v>
      </c>
      <c r="F656" s="46" t="s">
        <v>3220</v>
      </c>
      <c r="G656" s="27"/>
      <c r="H656" s="47"/>
      <c r="I656" s="47"/>
      <c r="J656" s="229"/>
      <c r="K656" s="28"/>
      <c r="L656" s="28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</row>
    <row r="657" spans="1:27" ht="37.5">
      <c r="A657" s="121"/>
      <c r="B657" s="20" t="str">
        <f t="shared" si="10"/>
        <v>4120</v>
      </c>
      <c r="C657" s="21"/>
      <c r="D657" s="63" t="s">
        <v>3221</v>
      </c>
      <c r="E657" s="21">
        <v>42</v>
      </c>
      <c r="F657" s="46" t="s">
        <v>3222</v>
      </c>
      <c r="G657" s="27"/>
      <c r="H657" s="47"/>
      <c r="I657" s="47"/>
      <c r="J657" s="229"/>
      <c r="K657" s="28"/>
      <c r="L657" s="28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</row>
    <row r="658" spans="1:27" ht="18.75">
      <c r="A658" s="121"/>
      <c r="B658" s="20" t="str">
        <f t="shared" si="10"/>
        <v>4210</v>
      </c>
      <c r="C658" s="21"/>
      <c r="D658" s="63" t="s">
        <v>3223</v>
      </c>
      <c r="E658" s="21">
        <v>42</v>
      </c>
      <c r="F658" s="46" t="s">
        <v>3224</v>
      </c>
      <c r="G658" s="27"/>
      <c r="H658" s="47"/>
      <c r="I658" s="47"/>
      <c r="J658" s="229"/>
      <c r="K658" s="28"/>
      <c r="L658" s="28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</row>
    <row r="659" spans="1:27" ht="18.75">
      <c r="A659" s="121"/>
      <c r="B659" s="20" t="str">
        <f t="shared" si="10"/>
        <v>4320</v>
      </c>
      <c r="C659" s="21"/>
      <c r="D659" s="63" t="s">
        <v>3225</v>
      </c>
      <c r="E659" s="21">
        <v>42</v>
      </c>
      <c r="F659" s="46" t="s">
        <v>3226</v>
      </c>
      <c r="G659" s="27"/>
      <c r="H659" s="47"/>
      <c r="I659" s="47"/>
      <c r="J659" s="229"/>
      <c r="K659" s="28"/>
      <c r="L659" s="28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</row>
    <row r="660" spans="1:27" ht="18.75">
      <c r="A660" s="121"/>
      <c r="B660" s="20" t="str">
        <f t="shared" si="10"/>
        <v>5610</v>
      </c>
      <c r="C660" s="21"/>
      <c r="D660" s="63" t="s">
        <v>3227</v>
      </c>
      <c r="E660" s="21">
        <v>42</v>
      </c>
      <c r="F660" s="46" t="s">
        <v>3228</v>
      </c>
      <c r="G660" s="27"/>
      <c r="H660" s="47"/>
      <c r="I660" s="47"/>
      <c r="J660" s="229"/>
      <c r="K660" s="28"/>
      <c r="L660" s="28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</row>
    <row r="661" spans="1:27" ht="37.5">
      <c r="A661" s="121"/>
      <c r="B661" s="20" t="str">
        <f t="shared" si="10"/>
        <v>6115</v>
      </c>
      <c r="C661" s="21"/>
      <c r="D661" s="63" t="s">
        <v>3229</v>
      </c>
      <c r="E661" s="21">
        <v>42</v>
      </c>
      <c r="F661" s="46" t="s">
        <v>3230</v>
      </c>
      <c r="G661" s="27"/>
      <c r="H661" s="47"/>
      <c r="I661" s="47"/>
      <c r="J661" s="229"/>
      <c r="K661" s="28"/>
      <c r="L661" s="28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</row>
    <row r="662" spans="1:27" ht="18.75">
      <c r="A662" s="121"/>
      <c r="B662" s="20" t="str">
        <f t="shared" si="10"/>
        <v>2420</v>
      </c>
      <c r="C662" s="21"/>
      <c r="D662" s="63" t="s">
        <v>3231</v>
      </c>
      <c r="E662" s="21">
        <v>43</v>
      </c>
      <c r="F662" s="46" t="s">
        <v>3233</v>
      </c>
      <c r="G662" s="27"/>
      <c r="H662" s="47"/>
      <c r="I662" s="47"/>
      <c r="J662" s="229"/>
      <c r="K662" s="28"/>
      <c r="L662" s="28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</row>
    <row r="663" spans="1:27" ht="18.75">
      <c r="A663" s="121"/>
      <c r="B663" s="20" t="str">
        <f t="shared" si="10"/>
        <v>3441</v>
      </c>
      <c r="C663" s="21"/>
      <c r="D663" s="63" t="s">
        <v>3234</v>
      </c>
      <c r="E663" s="21">
        <v>43</v>
      </c>
      <c r="F663" s="46" t="s">
        <v>3235</v>
      </c>
      <c r="G663" s="27"/>
      <c r="H663" s="47"/>
      <c r="I663" s="47"/>
      <c r="J663" s="229"/>
      <c r="K663" s="28"/>
      <c r="L663" s="28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</row>
    <row r="664" spans="1:27" ht="18.75">
      <c r="A664" s="121"/>
      <c r="B664" s="20" t="str">
        <f t="shared" si="10"/>
        <v>3805</v>
      </c>
      <c r="C664" s="21"/>
      <c r="D664" s="63" t="s">
        <v>3236</v>
      </c>
      <c r="E664" s="21">
        <v>43</v>
      </c>
      <c r="F664" s="46" t="s">
        <v>3237</v>
      </c>
      <c r="G664" s="27"/>
      <c r="H664" s="47"/>
      <c r="I664" s="47"/>
      <c r="J664" s="229"/>
      <c r="K664" s="28"/>
      <c r="L664" s="28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</row>
    <row r="665" spans="1:27" ht="18.75">
      <c r="A665" s="121"/>
      <c r="B665" s="20" t="str">
        <f t="shared" si="10"/>
        <v>3895</v>
      </c>
      <c r="C665" s="21"/>
      <c r="D665" s="63" t="s">
        <v>3238</v>
      </c>
      <c r="E665" s="21">
        <v>43</v>
      </c>
      <c r="F665" s="46" t="s">
        <v>141</v>
      </c>
      <c r="G665" s="27"/>
      <c r="H665" s="47"/>
      <c r="I665" s="47"/>
      <c r="J665" s="229"/>
      <c r="K665" s="28"/>
      <c r="L665" s="28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</row>
    <row r="666" spans="1:27" ht="18.75">
      <c r="A666" s="121"/>
      <c r="B666" s="20" t="str">
        <f t="shared" si="10"/>
        <v>3895</v>
      </c>
      <c r="C666" s="21"/>
      <c r="D666" s="63" t="s">
        <v>3239</v>
      </c>
      <c r="E666" s="21">
        <v>43</v>
      </c>
      <c r="F666" s="46" t="s">
        <v>3240</v>
      </c>
      <c r="G666" s="27"/>
      <c r="H666" s="47"/>
      <c r="I666" s="47"/>
      <c r="J666" s="229"/>
      <c r="K666" s="28"/>
      <c r="L666" s="28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</row>
    <row r="667" spans="1:27" ht="18.75">
      <c r="A667" s="121"/>
      <c r="B667" s="20" t="str">
        <f t="shared" si="10"/>
        <v>3960</v>
      </c>
      <c r="C667" s="21"/>
      <c r="D667" s="63" t="s">
        <v>3241</v>
      </c>
      <c r="E667" s="21">
        <v>43</v>
      </c>
      <c r="F667" s="46" t="s">
        <v>3242</v>
      </c>
      <c r="G667" s="27"/>
      <c r="H667" s="47"/>
      <c r="I667" s="47"/>
      <c r="J667" s="229"/>
      <c r="K667" s="28"/>
      <c r="L667" s="28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</row>
    <row r="668" spans="1:27" ht="18.75">
      <c r="A668" s="121"/>
      <c r="B668" s="20" t="str">
        <f t="shared" si="10"/>
        <v>4320</v>
      </c>
      <c r="C668" s="21"/>
      <c r="D668" s="63" t="s">
        <v>3243</v>
      </c>
      <c r="E668" s="21">
        <v>43</v>
      </c>
      <c r="F668" s="46" t="s">
        <v>3244</v>
      </c>
      <c r="G668" s="27"/>
      <c r="H668" s="47"/>
      <c r="I668" s="47"/>
      <c r="J668" s="229"/>
      <c r="K668" s="28"/>
      <c r="L668" s="28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</row>
    <row r="669" spans="1:27" ht="18.75">
      <c r="A669" s="121"/>
      <c r="B669" s="20" t="str">
        <f t="shared" si="10"/>
        <v>4320</v>
      </c>
      <c r="C669" s="21"/>
      <c r="D669" s="63" t="s">
        <v>3245</v>
      </c>
      <c r="E669" s="21">
        <v>43</v>
      </c>
      <c r="F669" s="46" t="s">
        <v>3246</v>
      </c>
      <c r="G669" s="27"/>
      <c r="H669" s="47"/>
      <c r="I669" s="47"/>
      <c r="J669" s="229"/>
      <c r="K669" s="28"/>
      <c r="L669" s="28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</row>
    <row r="670" spans="1:27" ht="18.75">
      <c r="A670" s="121"/>
      <c r="B670" s="20" t="str">
        <f t="shared" si="10"/>
        <v>4320</v>
      </c>
      <c r="C670" s="21"/>
      <c r="D670" s="63" t="s">
        <v>3247</v>
      </c>
      <c r="E670" s="21">
        <v>43</v>
      </c>
      <c r="F670" s="46" t="s">
        <v>3248</v>
      </c>
      <c r="G670" s="27"/>
      <c r="H670" s="47"/>
      <c r="I670" s="47"/>
      <c r="J670" s="229"/>
      <c r="K670" s="28"/>
      <c r="L670" s="28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</row>
    <row r="671" spans="1:27" ht="18.75">
      <c r="A671" s="121"/>
      <c r="B671" s="20" t="str">
        <f t="shared" si="10"/>
        <v>4320</v>
      </c>
      <c r="C671" s="21"/>
      <c r="D671" s="63" t="s">
        <v>3249</v>
      </c>
      <c r="E671" s="21">
        <v>43</v>
      </c>
      <c r="F671" s="46" t="s">
        <v>3250</v>
      </c>
      <c r="G671" s="27"/>
      <c r="H671" s="47"/>
      <c r="I671" s="47"/>
      <c r="J671" s="229"/>
      <c r="K671" s="28"/>
      <c r="L671" s="28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</row>
    <row r="672" spans="1:27" ht="18.75">
      <c r="A672" s="121"/>
      <c r="B672" s="20" t="str">
        <f t="shared" si="10"/>
        <v>4320</v>
      </c>
      <c r="C672" s="21"/>
      <c r="D672" s="63" t="s">
        <v>3251</v>
      </c>
      <c r="E672" s="21">
        <v>43</v>
      </c>
      <c r="F672" s="46" t="s">
        <v>2446</v>
      </c>
      <c r="G672" s="27"/>
      <c r="H672" s="47"/>
      <c r="I672" s="47"/>
      <c r="J672" s="229"/>
      <c r="K672" s="28"/>
      <c r="L672" s="28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</row>
    <row r="673" spans="1:27" ht="18.75">
      <c r="A673" s="121"/>
      <c r="B673" s="20" t="str">
        <f t="shared" si="10"/>
        <v>4910</v>
      </c>
      <c r="C673" s="21"/>
      <c r="D673" s="63" t="s">
        <v>3252</v>
      </c>
      <c r="E673" s="21">
        <v>43</v>
      </c>
      <c r="F673" s="46" t="s">
        <v>3253</v>
      </c>
      <c r="G673" s="27"/>
      <c r="H673" s="47"/>
      <c r="I673" s="47"/>
      <c r="J673" s="229"/>
      <c r="K673" s="28"/>
      <c r="L673" s="28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</row>
    <row r="674" spans="1:27" ht="18.75">
      <c r="A674" s="121"/>
      <c r="B674" s="20" t="str">
        <f t="shared" si="10"/>
        <v>4910</v>
      </c>
      <c r="C674" s="21"/>
      <c r="D674" s="63" t="s">
        <v>3255</v>
      </c>
      <c r="E674" s="21">
        <v>43</v>
      </c>
      <c r="F674" s="46" t="s">
        <v>3256</v>
      </c>
      <c r="G674" s="27"/>
      <c r="H674" s="47"/>
      <c r="I674" s="47"/>
      <c r="J674" s="229"/>
      <c r="K674" s="28"/>
      <c r="L674" s="28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</row>
    <row r="675" spans="1:27" ht="18.75">
      <c r="A675" s="121"/>
      <c r="B675" s="20" t="str">
        <f t="shared" si="10"/>
        <v>4940</v>
      </c>
      <c r="C675" s="21"/>
      <c r="D675" s="63" t="s">
        <v>3257</v>
      </c>
      <c r="E675" s="21">
        <v>43</v>
      </c>
      <c r="F675" s="46" t="s">
        <v>776</v>
      </c>
      <c r="G675" s="27"/>
      <c r="H675" s="47"/>
      <c r="I675" s="47"/>
      <c r="J675" s="229"/>
      <c r="K675" s="28"/>
      <c r="L675" s="28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</row>
    <row r="676" spans="1:27" ht="18.75">
      <c r="A676" s="121"/>
      <c r="B676" s="20" t="str">
        <f t="shared" si="10"/>
        <v>5130</v>
      </c>
      <c r="C676" s="21"/>
      <c r="D676" s="63" t="s">
        <v>3258</v>
      </c>
      <c r="E676" s="21">
        <v>43</v>
      </c>
      <c r="F676" s="46" t="s">
        <v>3259</v>
      </c>
      <c r="G676" s="27"/>
      <c r="H676" s="47"/>
      <c r="I676" s="47"/>
      <c r="J676" s="229"/>
      <c r="K676" s="28"/>
      <c r="L676" s="28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</row>
    <row r="677" spans="1:27" ht="37.5">
      <c r="A677" s="121"/>
      <c r="B677" s="20" t="str">
        <f t="shared" si="10"/>
        <v>5920</v>
      </c>
      <c r="C677" s="21"/>
      <c r="D677" s="63" t="s">
        <v>3273</v>
      </c>
      <c r="E677" s="21">
        <v>43</v>
      </c>
      <c r="F677" s="46" t="s">
        <v>3276</v>
      </c>
      <c r="G677" s="27"/>
      <c r="H677" s="47"/>
      <c r="I677" s="47"/>
      <c r="J677" s="229"/>
      <c r="K677" s="28"/>
      <c r="L677" s="28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</row>
    <row r="678" spans="1:27" ht="37.5">
      <c r="A678" s="121"/>
      <c r="B678" s="20" t="str">
        <f t="shared" si="10"/>
        <v>6110</v>
      </c>
      <c r="C678" s="21"/>
      <c r="D678" s="63" t="s">
        <v>3283</v>
      </c>
      <c r="E678" s="21">
        <v>43</v>
      </c>
      <c r="F678" s="46" t="s">
        <v>3284</v>
      </c>
      <c r="G678" s="27"/>
      <c r="H678" s="47"/>
      <c r="I678" s="47"/>
      <c r="J678" s="229"/>
      <c r="K678" s="28"/>
      <c r="L678" s="28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</row>
    <row r="679" spans="1:27" ht="37.5">
      <c r="A679" s="121"/>
      <c r="B679" s="20" t="str">
        <f t="shared" si="10"/>
        <v>6110</v>
      </c>
      <c r="C679" s="21"/>
      <c r="D679" s="63" t="s">
        <v>3289</v>
      </c>
      <c r="E679" s="21">
        <v>43</v>
      </c>
      <c r="F679" s="46" t="s">
        <v>3291</v>
      </c>
      <c r="G679" s="27"/>
      <c r="H679" s="47"/>
      <c r="I679" s="47"/>
      <c r="J679" s="229"/>
      <c r="K679" s="28"/>
      <c r="L679" s="28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</row>
    <row r="680" spans="1:27" ht="37.5">
      <c r="A680" s="121"/>
      <c r="B680" s="20" t="str">
        <f t="shared" si="10"/>
        <v>6110</v>
      </c>
      <c r="C680" s="21"/>
      <c r="D680" s="63" t="s">
        <v>3298</v>
      </c>
      <c r="E680" s="21">
        <v>43</v>
      </c>
      <c r="F680" s="46" t="s">
        <v>3299</v>
      </c>
      <c r="G680" s="27"/>
      <c r="H680" s="47"/>
      <c r="I680" s="47"/>
      <c r="J680" s="229"/>
      <c r="K680" s="28"/>
      <c r="L680" s="28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</row>
    <row r="681" spans="1:27" ht="37.5">
      <c r="A681" s="121"/>
      <c r="B681" s="20" t="str">
        <f t="shared" si="10"/>
        <v>6115</v>
      </c>
      <c r="C681" s="21"/>
      <c r="D681" s="63" t="s">
        <v>3317</v>
      </c>
      <c r="E681" s="21">
        <v>43</v>
      </c>
      <c r="F681" s="46" t="s">
        <v>3319</v>
      </c>
      <c r="G681" s="27"/>
      <c r="H681" s="47"/>
      <c r="I681" s="47"/>
      <c r="J681" s="229"/>
      <c r="K681" s="28"/>
      <c r="L681" s="28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</row>
    <row r="682" spans="1:27" ht="37.5">
      <c r="A682" s="121"/>
      <c r="B682" s="20" t="str">
        <f t="shared" si="10"/>
        <v>6115</v>
      </c>
      <c r="C682" s="21"/>
      <c r="D682" s="63" t="s">
        <v>3320</v>
      </c>
      <c r="E682" s="21">
        <v>43</v>
      </c>
      <c r="F682" s="46" t="s">
        <v>3325</v>
      </c>
      <c r="G682" s="27"/>
      <c r="H682" s="47"/>
      <c r="I682" s="47"/>
      <c r="J682" s="229"/>
      <c r="K682" s="28"/>
      <c r="L682" s="28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</row>
    <row r="683" spans="1:27" ht="37.5">
      <c r="A683" s="121"/>
      <c r="B683" s="20" t="str">
        <f t="shared" si="10"/>
        <v>6115</v>
      </c>
      <c r="C683" s="21"/>
      <c r="D683" s="63" t="s">
        <v>3327</v>
      </c>
      <c r="E683" s="21">
        <v>43</v>
      </c>
      <c r="F683" s="46" t="s">
        <v>3328</v>
      </c>
      <c r="G683" s="27"/>
      <c r="H683" s="47"/>
      <c r="I683" s="47"/>
      <c r="J683" s="229"/>
      <c r="K683" s="28"/>
      <c r="L683" s="28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</row>
    <row r="684" spans="1:27" ht="18.75">
      <c r="A684" s="121"/>
      <c r="B684" s="20" t="str">
        <f t="shared" si="10"/>
        <v>2320</v>
      </c>
      <c r="C684" s="21"/>
      <c r="D684" s="63" t="s">
        <v>3329</v>
      </c>
      <c r="E684" s="21">
        <v>44</v>
      </c>
      <c r="F684" s="46" t="s">
        <v>60</v>
      </c>
      <c r="G684" s="27"/>
      <c r="H684" s="47"/>
      <c r="I684" s="47"/>
      <c r="J684" s="229"/>
      <c r="K684" s="28"/>
      <c r="L684" s="28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</row>
    <row r="685" spans="1:27" ht="18.75">
      <c r="A685" s="121"/>
      <c r="B685" s="20" t="str">
        <f t="shared" si="10"/>
        <v>2320</v>
      </c>
      <c r="C685" s="21"/>
      <c r="D685" s="63" t="s">
        <v>3330</v>
      </c>
      <c r="E685" s="21">
        <v>44</v>
      </c>
      <c r="F685" s="46" t="s">
        <v>3331</v>
      </c>
      <c r="G685" s="27"/>
      <c r="H685" s="47"/>
      <c r="I685" s="47"/>
      <c r="J685" s="229"/>
      <c r="K685" s="28"/>
      <c r="L685" s="28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</row>
    <row r="686" spans="1:27" ht="18.75">
      <c r="A686" s="121"/>
      <c r="B686" s="20" t="str">
        <f t="shared" si="10"/>
        <v>2320</v>
      </c>
      <c r="C686" s="21"/>
      <c r="D686" s="63" t="s">
        <v>3332</v>
      </c>
      <c r="E686" s="21">
        <v>44</v>
      </c>
      <c r="F686" s="46" t="s">
        <v>3331</v>
      </c>
      <c r="G686" s="27"/>
      <c r="H686" s="47"/>
      <c r="I686" s="47"/>
      <c r="J686" s="229"/>
      <c r="K686" s="28"/>
      <c r="L686" s="28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</row>
    <row r="687" spans="1:27" ht="18.75">
      <c r="A687" s="121"/>
      <c r="B687" s="20" t="str">
        <f t="shared" si="10"/>
        <v>2320</v>
      </c>
      <c r="C687" s="21"/>
      <c r="D687" s="63" t="s">
        <v>3333</v>
      </c>
      <c r="E687" s="21">
        <v>44</v>
      </c>
      <c r="F687" s="46" t="s">
        <v>3120</v>
      </c>
      <c r="G687" s="27"/>
      <c r="H687" s="47"/>
      <c r="I687" s="47"/>
      <c r="J687" s="229"/>
      <c r="K687" s="28"/>
      <c r="L687" s="28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</row>
    <row r="688" spans="1:27" ht="18.75">
      <c r="A688" s="121"/>
      <c r="B688" s="20" t="str">
        <f t="shared" si="10"/>
        <v>2320</v>
      </c>
      <c r="C688" s="21"/>
      <c r="D688" s="63" t="s">
        <v>3334</v>
      </c>
      <c r="E688" s="21">
        <v>44</v>
      </c>
      <c r="F688" s="46" t="s">
        <v>3335</v>
      </c>
      <c r="G688" s="27"/>
      <c r="H688" s="47"/>
      <c r="I688" s="47"/>
      <c r="J688" s="229"/>
      <c r="K688" s="28"/>
      <c r="L688" s="28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</row>
    <row r="689" spans="1:27" ht="18.75">
      <c r="A689" s="121"/>
      <c r="B689" s="20" t="str">
        <f t="shared" si="10"/>
        <v>2320</v>
      </c>
      <c r="C689" s="21"/>
      <c r="D689" s="63" t="s">
        <v>3336</v>
      </c>
      <c r="E689" s="21">
        <v>44</v>
      </c>
      <c r="F689" s="46" t="s">
        <v>3337</v>
      </c>
      <c r="G689" s="27"/>
      <c r="H689" s="47"/>
      <c r="I689" s="47"/>
      <c r="J689" s="229"/>
      <c r="K689" s="28"/>
      <c r="L689" s="28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</row>
    <row r="690" spans="1:27" ht="18.75">
      <c r="A690" s="121"/>
      <c r="B690" s="20" t="str">
        <f t="shared" si="10"/>
        <v>2420</v>
      </c>
      <c r="C690" s="21"/>
      <c r="D690" s="63" t="s">
        <v>3338</v>
      </c>
      <c r="E690" s="21">
        <v>44</v>
      </c>
      <c r="F690" s="46" t="s">
        <v>3233</v>
      </c>
      <c r="G690" s="27"/>
      <c r="H690" s="47"/>
      <c r="I690" s="47"/>
      <c r="J690" s="229"/>
      <c r="K690" s="28"/>
      <c r="L690" s="28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</row>
    <row r="691" spans="1:27" ht="37.5">
      <c r="A691" s="121"/>
      <c r="B691" s="20" t="str">
        <f t="shared" si="10"/>
        <v>3405</v>
      </c>
      <c r="C691" s="21"/>
      <c r="D691" s="63" t="s">
        <v>3339</v>
      </c>
      <c r="E691" s="21">
        <v>44</v>
      </c>
      <c r="F691" s="46" t="s">
        <v>3340</v>
      </c>
      <c r="G691" s="27"/>
      <c r="H691" s="47"/>
      <c r="I691" s="47"/>
      <c r="J691" s="229"/>
      <c r="K691" s="28"/>
      <c r="L691" s="28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</row>
    <row r="692" spans="1:27" ht="18.75">
      <c r="A692" s="121"/>
      <c r="B692" s="20" t="str">
        <f t="shared" si="10"/>
        <v>3413</v>
      </c>
      <c r="C692" s="21"/>
      <c r="D692" s="63" t="s">
        <v>3341</v>
      </c>
      <c r="E692" s="21">
        <v>44</v>
      </c>
      <c r="F692" s="46" t="s">
        <v>3342</v>
      </c>
      <c r="G692" s="27"/>
      <c r="H692" s="47"/>
      <c r="I692" s="47"/>
      <c r="J692" s="229"/>
      <c r="K692" s="28"/>
      <c r="L692" s="28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</row>
    <row r="693" spans="1:27" ht="18.75">
      <c r="A693" s="121"/>
      <c r="B693" s="20" t="str">
        <f t="shared" si="10"/>
        <v>3413</v>
      </c>
      <c r="C693" s="21"/>
      <c r="D693" s="63" t="s">
        <v>3343</v>
      </c>
      <c r="E693" s="21">
        <v>44</v>
      </c>
      <c r="F693" s="46" t="s">
        <v>3344</v>
      </c>
      <c r="G693" s="27"/>
      <c r="H693" s="47"/>
      <c r="I693" s="47"/>
      <c r="J693" s="229"/>
      <c r="K693" s="28"/>
      <c r="L693" s="28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</row>
    <row r="694" spans="1:27" ht="18.75">
      <c r="A694" s="121"/>
      <c r="B694" s="20" t="str">
        <f t="shared" si="10"/>
        <v>3520</v>
      </c>
      <c r="C694" s="21"/>
      <c r="D694" s="63" t="s">
        <v>3345</v>
      </c>
      <c r="E694" s="21">
        <v>44</v>
      </c>
      <c r="F694" s="46" t="s">
        <v>3346</v>
      </c>
      <c r="G694" s="27"/>
      <c r="H694" s="47"/>
      <c r="I694" s="47"/>
      <c r="J694" s="229"/>
      <c r="K694" s="28"/>
      <c r="L694" s="28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</row>
    <row r="695" spans="1:27" ht="18.75">
      <c r="A695" s="121"/>
      <c r="B695" s="20" t="str">
        <f t="shared" si="10"/>
        <v>3825</v>
      </c>
      <c r="C695" s="21"/>
      <c r="D695" s="63" t="s">
        <v>3347</v>
      </c>
      <c r="E695" s="21">
        <v>44</v>
      </c>
      <c r="F695" s="46" t="s">
        <v>3348</v>
      </c>
      <c r="G695" s="27"/>
      <c r="H695" s="47"/>
      <c r="I695" s="47"/>
      <c r="J695" s="229"/>
      <c r="K695" s="28"/>
      <c r="L695" s="28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</row>
    <row r="696" spans="1:27" ht="18.75">
      <c r="A696" s="121"/>
      <c r="B696" s="20" t="str">
        <f t="shared" si="10"/>
        <v>3825</v>
      </c>
      <c r="C696" s="21"/>
      <c r="D696" s="63" t="s">
        <v>3349</v>
      </c>
      <c r="E696" s="21">
        <v>44</v>
      </c>
      <c r="F696" s="46" t="s">
        <v>3350</v>
      </c>
      <c r="G696" s="27"/>
      <c r="H696" s="47"/>
      <c r="I696" s="47"/>
      <c r="J696" s="229"/>
      <c r="K696" s="28"/>
      <c r="L696" s="28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</row>
    <row r="697" spans="1:27" ht="18.75">
      <c r="A697" s="121"/>
      <c r="B697" s="20" t="str">
        <f t="shared" si="10"/>
        <v>3895</v>
      </c>
      <c r="C697" s="21"/>
      <c r="D697" s="63" t="s">
        <v>3351</v>
      </c>
      <c r="E697" s="21">
        <v>44</v>
      </c>
      <c r="F697" s="46" t="s">
        <v>3352</v>
      </c>
      <c r="G697" s="27"/>
      <c r="H697" s="47"/>
      <c r="I697" s="47"/>
      <c r="J697" s="229"/>
      <c r="K697" s="28"/>
      <c r="L697" s="28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</row>
    <row r="698" spans="1:27" ht="18.75">
      <c r="A698" s="121"/>
      <c r="B698" s="20" t="str">
        <f t="shared" si="10"/>
        <v>3895</v>
      </c>
      <c r="C698" s="21"/>
      <c r="D698" s="63" t="s">
        <v>3353</v>
      </c>
      <c r="E698" s="21">
        <v>44</v>
      </c>
      <c r="F698" s="46" t="s">
        <v>3354</v>
      </c>
      <c r="G698" s="27"/>
      <c r="H698" s="47"/>
      <c r="I698" s="47"/>
      <c r="J698" s="229"/>
      <c r="K698" s="28"/>
      <c r="L698" s="28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</row>
    <row r="699" spans="1:27" ht="18.75">
      <c r="A699" s="121"/>
      <c r="B699" s="20" t="str">
        <f t="shared" si="10"/>
        <v>3920</v>
      </c>
      <c r="C699" s="21"/>
      <c r="D699" s="63" t="s">
        <v>3355</v>
      </c>
      <c r="E699" s="21">
        <v>44</v>
      </c>
      <c r="F699" s="46" t="s">
        <v>3356</v>
      </c>
      <c r="G699" s="27"/>
      <c r="H699" s="47"/>
      <c r="I699" s="47"/>
      <c r="J699" s="229"/>
      <c r="K699" s="28"/>
      <c r="L699" s="28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</row>
    <row r="700" spans="1:27" ht="18.75">
      <c r="A700" s="121"/>
      <c r="B700" s="20" t="str">
        <f t="shared" si="10"/>
        <v>3930</v>
      </c>
      <c r="C700" s="21"/>
      <c r="D700" s="63" t="s">
        <v>3357</v>
      </c>
      <c r="E700" s="21">
        <v>44</v>
      </c>
      <c r="F700" s="46" t="s">
        <v>3358</v>
      </c>
      <c r="G700" s="27"/>
      <c r="H700" s="47"/>
      <c r="I700" s="47"/>
      <c r="J700" s="229"/>
      <c r="K700" s="28"/>
      <c r="L700" s="28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</row>
    <row r="701" spans="1:27" ht="18.75">
      <c r="A701" s="121"/>
      <c r="B701" s="20" t="str">
        <f t="shared" si="10"/>
        <v>3930</v>
      </c>
      <c r="C701" s="21"/>
      <c r="D701" s="63" t="s">
        <v>3359</v>
      </c>
      <c r="E701" s="21">
        <v>44</v>
      </c>
      <c r="F701" s="46" t="s">
        <v>3360</v>
      </c>
      <c r="G701" s="27"/>
      <c r="H701" s="47"/>
      <c r="I701" s="47"/>
      <c r="J701" s="229"/>
      <c r="K701" s="28"/>
      <c r="L701" s="28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</row>
    <row r="702" spans="1:27" ht="18.75">
      <c r="A702" s="121"/>
      <c r="B702" s="20" t="str">
        <f t="shared" si="10"/>
        <v>3930</v>
      </c>
      <c r="C702" s="21"/>
      <c r="D702" s="63" t="s">
        <v>3361</v>
      </c>
      <c r="E702" s="21">
        <v>44</v>
      </c>
      <c r="F702" s="46" t="s">
        <v>3362</v>
      </c>
      <c r="G702" s="27"/>
      <c r="H702" s="47"/>
      <c r="I702" s="47"/>
      <c r="J702" s="229"/>
      <c r="K702" s="28"/>
      <c r="L702" s="28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</row>
    <row r="703" spans="1:27" ht="18.75">
      <c r="A703" s="121"/>
      <c r="B703" s="20" t="str">
        <f t="shared" si="10"/>
        <v>4310</v>
      </c>
      <c r="C703" s="21"/>
      <c r="D703" s="63" t="s">
        <v>3363</v>
      </c>
      <c r="E703" s="21">
        <v>44</v>
      </c>
      <c r="F703" s="46" t="s">
        <v>3364</v>
      </c>
      <c r="G703" s="27"/>
      <c r="H703" s="47"/>
      <c r="I703" s="47"/>
      <c r="J703" s="229"/>
      <c r="K703" s="28"/>
      <c r="L703" s="28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</row>
    <row r="704" spans="1:27" ht="18.75">
      <c r="A704" s="121"/>
      <c r="B704" s="20" t="str">
        <f t="shared" si="10"/>
        <v>4610</v>
      </c>
      <c r="C704" s="21"/>
      <c r="D704" s="63" t="s">
        <v>3365</v>
      </c>
      <c r="E704" s="21">
        <v>44</v>
      </c>
      <c r="F704" s="46" t="s">
        <v>3366</v>
      </c>
      <c r="G704" s="27"/>
      <c r="H704" s="47"/>
      <c r="I704" s="47"/>
      <c r="J704" s="229"/>
      <c r="K704" s="28"/>
      <c r="L704" s="28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</row>
    <row r="705" spans="1:27" ht="18.75">
      <c r="A705" s="121"/>
      <c r="B705" s="20" t="str">
        <f t="shared" si="10"/>
        <v>4610</v>
      </c>
      <c r="C705" s="21"/>
      <c r="D705" s="63" t="s">
        <v>3368</v>
      </c>
      <c r="E705" s="21">
        <v>44</v>
      </c>
      <c r="F705" s="46" t="s">
        <v>3152</v>
      </c>
      <c r="G705" s="27"/>
      <c r="H705" s="47"/>
      <c r="I705" s="47"/>
      <c r="J705" s="229"/>
      <c r="K705" s="28"/>
      <c r="L705" s="28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</row>
    <row r="706" spans="1:27" ht="18.75">
      <c r="A706" s="121"/>
      <c r="B706" s="20" t="str">
        <f t="shared" ref="B706:B769" si="11">LEFT(D706, SEARCH("",D706,4))</f>
        <v>5120</v>
      </c>
      <c r="C706" s="21"/>
      <c r="D706" s="63" t="s">
        <v>3369</v>
      </c>
      <c r="E706" s="21">
        <v>44</v>
      </c>
      <c r="F706" s="46" t="s">
        <v>3370</v>
      </c>
      <c r="G706" s="27"/>
      <c r="H706" s="47"/>
      <c r="I706" s="47"/>
      <c r="J706" s="229"/>
      <c r="K706" s="28"/>
      <c r="L706" s="28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</row>
    <row r="707" spans="1:27" ht="18.75">
      <c r="A707" s="121"/>
      <c r="B707" s="20" t="str">
        <f t="shared" si="11"/>
        <v>5130</v>
      </c>
      <c r="C707" s="21"/>
      <c r="D707" s="63" t="s">
        <v>3371</v>
      </c>
      <c r="E707" s="21">
        <v>44</v>
      </c>
      <c r="F707" s="46" t="s">
        <v>3372</v>
      </c>
      <c r="G707" s="27"/>
      <c r="H707" s="47"/>
      <c r="I707" s="47"/>
      <c r="J707" s="229"/>
      <c r="K707" s="28"/>
      <c r="L707" s="28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</row>
    <row r="708" spans="1:27" ht="37.5">
      <c r="A708" s="121"/>
      <c r="B708" s="20" t="str">
        <f t="shared" si="11"/>
        <v>5130</v>
      </c>
      <c r="C708" s="21"/>
      <c r="D708" s="63" t="s">
        <v>3373</v>
      </c>
      <c r="E708" s="21">
        <v>44</v>
      </c>
      <c r="F708" s="46" t="s">
        <v>3374</v>
      </c>
      <c r="G708" s="27"/>
      <c r="H708" s="47"/>
      <c r="I708" s="47"/>
      <c r="J708" s="229"/>
      <c r="K708" s="28"/>
      <c r="L708" s="28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</row>
    <row r="709" spans="1:27" ht="18.75">
      <c r="A709" s="121"/>
      <c r="B709" s="20" t="str">
        <f t="shared" si="11"/>
        <v>5130</v>
      </c>
      <c r="C709" s="21"/>
      <c r="D709" s="63" t="s">
        <v>3375</v>
      </c>
      <c r="E709" s="21">
        <v>44</v>
      </c>
      <c r="F709" s="46" t="s">
        <v>3376</v>
      </c>
      <c r="G709" s="27"/>
      <c r="H709" s="47"/>
      <c r="I709" s="47"/>
      <c r="J709" s="229"/>
      <c r="K709" s="28"/>
      <c r="L709" s="28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</row>
    <row r="710" spans="1:27" ht="18.75">
      <c r="A710" s="121"/>
      <c r="B710" s="20" t="str">
        <f t="shared" si="11"/>
        <v>5130</v>
      </c>
      <c r="C710" s="21"/>
      <c r="D710" s="63" t="s">
        <v>3377</v>
      </c>
      <c r="E710" s="21">
        <v>44</v>
      </c>
      <c r="F710" s="46" t="s">
        <v>3050</v>
      </c>
      <c r="G710" s="27"/>
      <c r="H710" s="47"/>
      <c r="I710" s="47"/>
      <c r="J710" s="229"/>
      <c r="K710" s="28"/>
      <c r="L710" s="28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</row>
    <row r="711" spans="1:27" ht="18.75">
      <c r="A711" s="121"/>
      <c r="B711" s="20" t="str">
        <f t="shared" si="11"/>
        <v>5130</v>
      </c>
      <c r="C711" s="21"/>
      <c r="D711" s="63" t="s">
        <v>3379</v>
      </c>
      <c r="E711" s="21">
        <v>44</v>
      </c>
      <c r="F711" s="46" t="s">
        <v>3380</v>
      </c>
      <c r="G711" s="27"/>
      <c r="H711" s="47"/>
      <c r="I711" s="47"/>
      <c r="J711" s="229"/>
      <c r="K711" s="28"/>
      <c r="L711" s="28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</row>
    <row r="712" spans="1:27" ht="18.75">
      <c r="A712" s="121"/>
      <c r="B712" s="20" t="str">
        <f t="shared" si="11"/>
        <v>6125</v>
      </c>
      <c r="C712" s="21"/>
      <c r="D712" s="63" t="s">
        <v>3381</v>
      </c>
      <c r="E712" s="21">
        <v>44</v>
      </c>
      <c r="F712" s="46" t="s">
        <v>3383</v>
      </c>
      <c r="G712" s="27"/>
      <c r="H712" s="47"/>
      <c r="I712" s="47"/>
      <c r="J712" s="229"/>
      <c r="K712" s="28"/>
      <c r="L712" s="28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</row>
    <row r="713" spans="1:27" ht="18.75">
      <c r="A713" s="121"/>
      <c r="B713" s="20" t="str">
        <f t="shared" si="11"/>
        <v>6630</v>
      </c>
      <c r="C713" s="21"/>
      <c r="D713" s="63" t="s">
        <v>3384</v>
      </c>
      <c r="E713" s="21">
        <v>44</v>
      </c>
      <c r="F713" s="46" t="s">
        <v>1171</v>
      </c>
      <c r="G713" s="27"/>
      <c r="H713" s="47"/>
      <c r="I713" s="47"/>
      <c r="J713" s="229"/>
      <c r="K713" s="28"/>
      <c r="L713" s="28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</row>
    <row r="714" spans="1:27" ht="18.75">
      <c r="A714" s="121"/>
      <c r="B714" s="20" t="str">
        <f t="shared" si="11"/>
        <v>6630</v>
      </c>
      <c r="C714" s="21"/>
      <c r="D714" s="63" t="s">
        <v>3385</v>
      </c>
      <c r="E714" s="21">
        <v>44</v>
      </c>
      <c r="F714" s="46" t="s">
        <v>3386</v>
      </c>
      <c r="G714" s="27"/>
      <c r="H714" s="47"/>
      <c r="I714" s="47"/>
      <c r="J714" s="229"/>
      <c r="K714" s="28"/>
      <c r="L714" s="28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</row>
    <row r="715" spans="1:27" ht="18.75">
      <c r="A715" s="121"/>
      <c r="B715" s="20" t="str">
        <f t="shared" si="11"/>
        <v>6630</v>
      </c>
      <c r="C715" s="21"/>
      <c r="D715" s="63" t="s">
        <v>3387</v>
      </c>
      <c r="E715" s="21">
        <v>44</v>
      </c>
      <c r="F715" s="46" t="s">
        <v>3388</v>
      </c>
      <c r="G715" s="27"/>
      <c r="H715" s="47"/>
      <c r="I715" s="47"/>
      <c r="J715" s="229"/>
      <c r="K715" s="28"/>
      <c r="L715" s="28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</row>
    <row r="716" spans="1:27" ht="18.75">
      <c r="A716" s="121"/>
      <c r="B716" s="20" t="str">
        <f t="shared" si="11"/>
        <v>6630</v>
      </c>
      <c r="C716" s="21"/>
      <c r="D716" s="63" t="s">
        <v>3389</v>
      </c>
      <c r="E716" s="21">
        <v>44</v>
      </c>
      <c r="F716" s="46" t="s">
        <v>3390</v>
      </c>
      <c r="G716" s="27"/>
      <c r="H716" s="47"/>
      <c r="I716" s="47"/>
      <c r="J716" s="229"/>
      <c r="K716" s="28"/>
      <c r="L716" s="28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</row>
    <row r="717" spans="1:27" ht="18.75">
      <c r="A717" s="121"/>
      <c r="B717" s="20" t="str">
        <f t="shared" si="11"/>
        <v>6630</v>
      </c>
      <c r="C717" s="21"/>
      <c r="D717" s="63" t="s">
        <v>3391</v>
      </c>
      <c r="E717" s="21">
        <v>44</v>
      </c>
      <c r="F717" s="46" t="s">
        <v>3392</v>
      </c>
      <c r="G717" s="27"/>
      <c r="H717" s="47"/>
      <c r="I717" s="47"/>
      <c r="J717" s="229"/>
      <c r="K717" s="28"/>
      <c r="L717" s="28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</row>
    <row r="718" spans="1:27" ht="18.75">
      <c r="A718" s="121"/>
      <c r="B718" s="20" t="str">
        <f t="shared" si="11"/>
        <v>6630</v>
      </c>
      <c r="C718" s="21"/>
      <c r="D718" s="63" t="s">
        <v>3393</v>
      </c>
      <c r="E718" s="21">
        <v>44</v>
      </c>
      <c r="F718" s="46" t="s">
        <v>3394</v>
      </c>
      <c r="G718" s="27"/>
      <c r="H718" s="47"/>
      <c r="I718" s="47"/>
      <c r="J718" s="229"/>
      <c r="K718" s="28"/>
      <c r="L718" s="28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</row>
    <row r="719" spans="1:27" ht="18.75">
      <c r="A719" s="121"/>
      <c r="B719" s="20" t="str">
        <f t="shared" si="11"/>
        <v>6635</v>
      </c>
      <c r="C719" s="21"/>
      <c r="D719" s="63" t="s">
        <v>3395</v>
      </c>
      <c r="E719" s="21">
        <v>44</v>
      </c>
      <c r="F719" s="46" t="s">
        <v>3396</v>
      </c>
      <c r="G719" s="27"/>
      <c r="H719" s="47"/>
      <c r="I719" s="47"/>
      <c r="J719" s="229"/>
      <c r="K719" s="28"/>
      <c r="L719" s="28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</row>
    <row r="720" spans="1:27" ht="18.75">
      <c r="A720" s="121"/>
      <c r="B720" s="20" t="str">
        <f t="shared" si="11"/>
        <v>6635</v>
      </c>
      <c r="C720" s="21"/>
      <c r="D720" s="63" t="s">
        <v>3397</v>
      </c>
      <c r="E720" s="21">
        <v>44</v>
      </c>
      <c r="F720" s="46" t="s">
        <v>3398</v>
      </c>
      <c r="G720" s="27"/>
      <c r="H720" s="47"/>
      <c r="I720" s="47"/>
      <c r="J720" s="229"/>
      <c r="K720" s="28"/>
      <c r="L720" s="28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</row>
    <row r="721" spans="1:27" ht="18.75">
      <c r="A721" s="121"/>
      <c r="B721" s="20" t="str">
        <f t="shared" si="11"/>
        <v>6645</v>
      </c>
      <c r="C721" s="21"/>
      <c r="D721" s="63" t="s">
        <v>3400</v>
      </c>
      <c r="E721" s="21">
        <v>44</v>
      </c>
      <c r="F721" s="46" t="s">
        <v>3401</v>
      </c>
      <c r="G721" s="27"/>
      <c r="H721" s="47"/>
      <c r="I721" s="47"/>
      <c r="J721" s="229"/>
      <c r="K721" s="28"/>
      <c r="L721" s="28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</row>
    <row r="722" spans="1:27" ht="37.5">
      <c r="A722" s="121"/>
      <c r="B722" s="20" t="str">
        <f t="shared" si="11"/>
        <v>9999</v>
      </c>
      <c r="C722" s="21"/>
      <c r="D722" s="63" t="s">
        <v>3402</v>
      </c>
      <c r="E722" s="21">
        <v>44</v>
      </c>
      <c r="F722" s="46" t="s">
        <v>3403</v>
      </c>
      <c r="G722" s="27"/>
      <c r="H722" s="47"/>
      <c r="I722" s="47"/>
      <c r="J722" s="229"/>
      <c r="K722" s="28"/>
      <c r="L722" s="28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</row>
    <row r="723" spans="1:27" ht="37.5">
      <c r="A723" s="121"/>
      <c r="B723" s="20" t="str">
        <f t="shared" si="11"/>
        <v>9999</v>
      </c>
      <c r="C723" s="21"/>
      <c r="D723" s="63" t="s">
        <v>3402</v>
      </c>
      <c r="E723" s="21">
        <v>44</v>
      </c>
      <c r="F723" s="46" t="s">
        <v>3405</v>
      </c>
      <c r="G723" s="27"/>
      <c r="H723" s="47"/>
      <c r="I723" s="47"/>
      <c r="J723" s="229"/>
      <c r="K723" s="28"/>
      <c r="L723" s="28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</row>
    <row r="724" spans="1:27" ht="18.75">
      <c r="A724" s="121"/>
      <c r="B724" s="20" t="str">
        <f t="shared" si="11"/>
        <v>3405</v>
      </c>
      <c r="C724" s="21"/>
      <c r="D724" s="63" t="s">
        <v>3406</v>
      </c>
      <c r="E724" s="21">
        <v>45</v>
      </c>
      <c r="F724" s="46" t="s">
        <v>3407</v>
      </c>
      <c r="G724" s="27"/>
      <c r="H724" s="47"/>
      <c r="I724" s="47"/>
      <c r="J724" s="229"/>
      <c r="K724" s="28"/>
      <c r="L724" s="28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</row>
    <row r="725" spans="1:27" ht="18.75">
      <c r="A725" s="121"/>
      <c r="B725" s="20" t="str">
        <f t="shared" si="11"/>
        <v>3405</v>
      </c>
      <c r="C725" s="21"/>
      <c r="D725" s="63" t="s">
        <v>3409</v>
      </c>
      <c r="E725" s="21">
        <v>45</v>
      </c>
      <c r="F725" s="46" t="s">
        <v>3410</v>
      </c>
      <c r="G725" s="27"/>
      <c r="H725" s="47"/>
      <c r="I725" s="47"/>
      <c r="J725" s="229"/>
      <c r="K725" s="28"/>
      <c r="L725" s="28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</row>
    <row r="726" spans="1:27" ht="18.75">
      <c r="A726" s="121"/>
      <c r="B726" s="20" t="str">
        <f t="shared" si="11"/>
        <v>3441</v>
      </c>
      <c r="C726" s="21"/>
      <c r="D726" s="63" t="s">
        <v>3411</v>
      </c>
      <c r="E726" s="21">
        <v>45</v>
      </c>
      <c r="F726" s="46" t="s">
        <v>3412</v>
      </c>
      <c r="G726" s="27"/>
      <c r="H726" s="47"/>
      <c r="I726" s="47"/>
      <c r="J726" s="229"/>
      <c r="K726" s="28"/>
      <c r="L726" s="28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</row>
    <row r="727" spans="1:27" ht="18.75">
      <c r="A727" s="121"/>
      <c r="B727" s="20" t="str">
        <f t="shared" si="11"/>
        <v>3442</v>
      </c>
      <c r="C727" s="21"/>
      <c r="D727" s="63" t="s">
        <v>3414</v>
      </c>
      <c r="E727" s="21">
        <v>45</v>
      </c>
      <c r="F727" s="46" t="s">
        <v>3415</v>
      </c>
      <c r="G727" s="27"/>
      <c r="H727" s="47"/>
      <c r="I727" s="47"/>
      <c r="J727" s="229"/>
      <c r="K727" s="28"/>
      <c r="L727" s="28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</row>
    <row r="728" spans="1:27" ht="18.75">
      <c r="A728" s="121"/>
      <c r="B728" s="20" t="str">
        <f t="shared" si="11"/>
        <v>3442</v>
      </c>
      <c r="C728" s="21"/>
      <c r="D728" s="63" t="s">
        <v>3416</v>
      </c>
      <c r="E728" s="21">
        <v>45</v>
      </c>
      <c r="F728" s="46" t="s">
        <v>3417</v>
      </c>
      <c r="G728" s="27"/>
      <c r="H728" s="47"/>
      <c r="I728" s="47"/>
      <c r="J728" s="229"/>
      <c r="K728" s="28"/>
      <c r="L728" s="28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</row>
    <row r="729" spans="1:27" ht="18.75">
      <c r="A729" s="121"/>
      <c r="B729" s="20" t="str">
        <f t="shared" si="11"/>
        <v>3805</v>
      </c>
      <c r="C729" s="21"/>
      <c r="D729" s="63" t="s">
        <v>3418</v>
      </c>
      <c r="E729" s="21">
        <v>45</v>
      </c>
      <c r="F729" s="46" t="s">
        <v>3419</v>
      </c>
      <c r="G729" s="27"/>
      <c r="H729" s="47"/>
      <c r="I729" s="47"/>
      <c r="J729" s="229"/>
      <c r="K729" s="28"/>
      <c r="L729" s="28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</row>
    <row r="730" spans="1:27" ht="18.75">
      <c r="A730" s="121"/>
      <c r="B730" s="20" t="str">
        <f t="shared" si="11"/>
        <v>3825</v>
      </c>
      <c r="C730" s="21"/>
      <c r="D730" s="63" t="s">
        <v>3420</v>
      </c>
      <c r="E730" s="21">
        <v>45</v>
      </c>
      <c r="F730" s="46" t="s">
        <v>3350</v>
      </c>
      <c r="G730" s="27"/>
      <c r="H730" s="47"/>
      <c r="I730" s="47"/>
      <c r="J730" s="229"/>
      <c r="K730" s="28"/>
      <c r="L730" s="28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</row>
    <row r="731" spans="1:27" ht="37.5">
      <c r="A731" s="121"/>
      <c r="B731" s="20" t="str">
        <f t="shared" si="11"/>
        <v>4120</v>
      </c>
      <c r="C731" s="21"/>
      <c r="D731" s="63" t="s">
        <v>3421</v>
      </c>
      <c r="E731" s="21">
        <v>45</v>
      </c>
      <c r="F731" s="46" t="s">
        <v>3422</v>
      </c>
      <c r="G731" s="27"/>
      <c r="H731" s="47"/>
      <c r="I731" s="47"/>
      <c r="J731" s="229"/>
      <c r="K731" s="28"/>
      <c r="L731" s="28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</row>
    <row r="732" spans="1:27" ht="18.75">
      <c r="A732" s="121"/>
      <c r="B732" s="20" t="str">
        <f t="shared" si="11"/>
        <v>4210</v>
      </c>
      <c r="C732" s="21"/>
      <c r="D732" s="63" t="s">
        <v>3423</v>
      </c>
      <c r="E732" s="21">
        <v>45</v>
      </c>
      <c r="F732" s="46" t="s">
        <v>3424</v>
      </c>
      <c r="G732" s="27"/>
      <c r="H732" s="47"/>
      <c r="I732" s="47"/>
      <c r="J732" s="229"/>
      <c r="K732" s="28"/>
      <c r="L732" s="28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</row>
    <row r="733" spans="1:27" ht="18.75">
      <c r="A733" s="121"/>
      <c r="B733" s="20" t="str">
        <f t="shared" si="11"/>
        <v>4210</v>
      </c>
      <c r="C733" s="21"/>
      <c r="D733" s="63" t="s">
        <v>3425</v>
      </c>
      <c r="E733" s="21">
        <v>45</v>
      </c>
      <c r="F733" s="46" t="s">
        <v>3426</v>
      </c>
      <c r="G733" s="27"/>
      <c r="H733" s="47"/>
      <c r="I733" s="47"/>
      <c r="J733" s="229"/>
      <c r="K733" s="28"/>
      <c r="L733" s="28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</row>
    <row r="734" spans="1:27" ht="18.75">
      <c r="A734" s="121"/>
      <c r="B734" s="20" t="str">
        <f t="shared" si="11"/>
        <v>4210</v>
      </c>
      <c r="C734" s="21"/>
      <c r="D734" s="63" t="s">
        <v>3427</v>
      </c>
      <c r="E734" s="21">
        <v>45</v>
      </c>
      <c r="F734" s="46" t="s">
        <v>3428</v>
      </c>
      <c r="G734" s="27"/>
      <c r="H734" s="47"/>
      <c r="I734" s="47"/>
      <c r="J734" s="229"/>
      <c r="K734" s="28"/>
      <c r="L734" s="28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</row>
    <row r="735" spans="1:27" ht="18.75">
      <c r="A735" s="121"/>
      <c r="B735" s="20" t="str">
        <f t="shared" si="11"/>
        <v>4320</v>
      </c>
      <c r="C735" s="21"/>
      <c r="D735" s="63" t="s">
        <v>3429</v>
      </c>
      <c r="E735" s="21">
        <v>45</v>
      </c>
      <c r="F735" s="46" t="s">
        <v>3226</v>
      </c>
      <c r="G735" s="27"/>
      <c r="H735" s="47"/>
      <c r="I735" s="47"/>
      <c r="J735" s="229"/>
      <c r="K735" s="28"/>
      <c r="L735" s="28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</row>
    <row r="736" spans="1:27" ht="18.75">
      <c r="A736" s="121"/>
      <c r="B736" s="20" t="str">
        <f t="shared" si="11"/>
        <v>4320</v>
      </c>
      <c r="C736" s="21"/>
      <c r="D736" s="63" t="s">
        <v>3430</v>
      </c>
      <c r="E736" s="21">
        <v>45</v>
      </c>
      <c r="F736" s="46" t="s">
        <v>2446</v>
      </c>
      <c r="G736" s="27"/>
      <c r="H736" s="47"/>
      <c r="I736" s="47"/>
      <c r="J736" s="229"/>
      <c r="K736" s="28"/>
      <c r="L736" s="28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</row>
    <row r="737" spans="1:27" ht="18.75">
      <c r="A737" s="121"/>
      <c r="B737" s="20" t="str">
        <f t="shared" si="11"/>
        <v>4320</v>
      </c>
      <c r="C737" s="21"/>
      <c r="D737" s="63" t="s">
        <v>3431</v>
      </c>
      <c r="E737" s="21">
        <v>45</v>
      </c>
      <c r="F737" s="46" t="s">
        <v>3432</v>
      </c>
      <c r="G737" s="27"/>
      <c r="H737" s="47"/>
      <c r="I737" s="47"/>
      <c r="J737" s="229"/>
      <c r="K737" s="28"/>
      <c r="L737" s="28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</row>
    <row r="738" spans="1:27" ht="18.75">
      <c r="A738" s="121"/>
      <c r="B738" s="20" t="str">
        <f t="shared" si="11"/>
        <v>4320</v>
      </c>
      <c r="C738" s="21"/>
      <c r="D738" s="63" t="s">
        <v>3433</v>
      </c>
      <c r="E738" s="21">
        <v>45</v>
      </c>
      <c r="F738" s="46" t="s">
        <v>3434</v>
      </c>
      <c r="G738" s="27"/>
      <c r="H738" s="47"/>
      <c r="I738" s="47"/>
      <c r="J738" s="229"/>
      <c r="K738" s="28"/>
      <c r="L738" s="28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</row>
    <row r="739" spans="1:27" ht="18.75">
      <c r="A739" s="121"/>
      <c r="B739" s="20" t="str">
        <f t="shared" si="11"/>
        <v>4320</v>
      </c>
      <c r="C739" s="21"/>
      <c r="D739" s="63" t="s">
        <v>3435</v>
      </c>
      <c r="E739" s="21">
        <v>45</v>
      </c>
      <c r="F739" s="46" t="s">
        <v>3436</v>
      </c>
      <c r="G739" s="27"/>
      <c r="H739" s="47"/>
      <c r="I739" s="47"/>
      <c r="J739" s="229"/>
      <c r="K739" s="28"/>
      <c r="L739" s="28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</row>
    <row r="740" spans="1:27" ht="18.75">
      <c r="A740" s="121"/>
      <c r="B740" s="20" t="str">
        <f t="shared" si="11"/>
        <v>4630</v>
      </c>
      <c r="C740" s="21"/>
      <c r="D740" s="63" t="s">
        <v>3437</v>
      </c>
      <c r="E740" s="21">
        <v>45</v>
      </c>
      <c r="F740" s="46" t="s">
        <v>3438</v>
      </c>
      <c r="G740" s="27"/>
      <c r="H740" s="47"/>
      <c r="I740" s="47"/>
      <c r="J740" s="229"/>
      <c r="K740" s="28"/>
      <c r="L740" s="28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</row>
    <row r="741" spans="1:27" ht="18.75">
      <c r="A741" s="121"/>
      <c r="B741" s="20" t="str">
        <f t="shared" si="11"/>
        <v>4910</v>
      </c>
      <c r="C741" s="21"/>
      <c r="D741" s="63" t="s">
        <v>3439</v>
      </c>
      <c r="E741" s="21">
        <v>45</v>
      </c>
      <c r="F741" s="46" t="s">
        <v>3440</v>
      </c>
      <c r="G741" s="27"/>
      <c r="H741" s="47"/>
      <c r="I741" s="47"/>
      <c r="J741" s="229"/>
      <c r="K741" s="28"/>
      <c r="L741" s="28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</row>
    <row r="742" spans="1:27" ht="18.75">
      <c r="A742" s="121"/>
      <c r="B742" s="20" t="str">
        <f t="shared" si="11"/>
        <v>6125</v>
      </c>
      <c r="C742" s="21"/>
      <c r="D742" s="63" t="s">
        <v>3441</v>
      </c>
      <c r="E742" s="21">
        <v>45</v>
      </c>
      <c r="F742" s="46" t="s">
        <v>3442</v>
      </c>
      <c r="G742" s="27"/>
      <c r="H742" s="47"/>
      <c r="I742" s="47"/>
      <c r="J742" s="229"/>
      <c r="K742" s="28"/>
      <c r="L742" s="28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</row>
    <row r="743" spans="1:27" ht="18.75">
      <c r="A743" s="121"/>
      <c r="B743" s="20" t="str">
        <f t="shared" si="11"/>
        <v>6210</v>
      </c>
      <c r="C743" s="21"/>
      <c r="D743" s="63" t="s">
        <v>3443</v>
      </c>
      <c r="E743" s="21">
        <v>45</v>
      </c>
      <c r="F743" s="46" t="s">
        <v>3444</v>
      </c>
      <c r="G743" s="27"/>
      <c r="H743" s="47"/>
      <c r="I743" s="47"/>
      <c r="J743" s="229"/>
      <c r="K743" s="28"/>
      <c r="L743" s="28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</row>
    <row r="744" spans="1:27" ht="18.75">
      <c r="A744" s="121"/>
      <c r="B744" s="20" t="str">
        <f t="shared" si="11"/>
        <v>6210</v>
      </c>
      <c r="C744" s="21"/>
      <c r="D744" s="63" t="s">
        <v>3445</v>
      </c>
      <c r="E744" s="21">
        <v>45</v>
      </c>
      <c r="F744" s="46" t="s">
        <v>3446</v>
      </c>
      <c r="G744" s="27"/>
      <c r="H744" s="47"/>
      <c r="I744" s="47"/>
      <c r="J744" s="229"/>
      <c r="K744" s="28"/>
      <c r="L744" s="28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</row>
    <row r="745" spans="1:27" ht="18.75">
      <c r="A745" s="121"/>
      <c r="B745" s="20" t="str">
        <f t="shared" si="11"/>
        <v>6630</v>
      </c>
      <c r="C745" s="21"/>
      <c r="D745" s="63" t="s">
        <v>3447</v>
      </c>
      <c r="E745" s="21">
        <v>45</v>
      </c>
      <c r="F745" s="46" t="s">
        <v>3448</v>
      </c>
      <c r="G745" s="27"/>
      <c r="H745" s="47"/>
      <c r="I745" s="47"/>
      <c r="J745" s="229"/>
      <c r="K745" s="28"/>
      <c r="L745" s="28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</row>
    <row r="746" spans="1:27" ht="18.75">
      <c r="A746" s="121"/>
      <c r="B746" s="20" t="str">
        <f t="shared" si="11"/>
        <v>6635</v>
      </c>
      <c r="C746" s="21"/>
      <c r="D746" s="63" t="s">
        <v>3449</v>
      </c>
      <c r="E746" s="21">
        <v>45</v>
      </c>
      <c r="F746" s="46" t="s">
        <v>3450</v>
      </c>
      <c r="G746" s="27"/>
      <c r="H746" s="47"/>
      <c r="I746" s="47"/>
      <c r="J746" s="229"/>
      <c r="K746" s="28"/>
      <c r="L746" s="28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</row>
    <row r="747" spans="1:27" ht="18.75">
      <c r="A747" s="121"/>
      <c r="B747" s="20" t="str">
        <f t="shared" si="11"/>
        <v>6635</v>
      </c>
      <c r="C747" s="21"/>
      <c r="D747" s="63" t="s">
        <v>3451</v>
      </c>
      <c r="E747" s="21">
        <v>45</v>
      </c>
      <c r="F747" s="46" t="s">
        <v>3452</v>
      </c>
      <c r="G747" s="27"/>
      <c r="H747" s="47"/>
      <c r="I747" s="47"/>
      <c r="J747" s="229"/>
      <c r="K747" s="28"/>
      <c r="L747" s="28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</row>
    <row r="748" spans="1:27" ht="18.75">
      <c r="A748" s="121"/>
      <c r="B748" s="20" t="str">
        <f t="shared" si="11"/>
        <v>6635</v>
      </c>
      <c r="C748" s="21"/>
      <c r="D748" s="63" t="s">
        <v>3453</v>
      </c>
      <c r="E748" s="21">
        <v>45</v>
      </c>
      <c r="F748" s="46" t="s">
        <v>3454</v>
      </c>
      <c r="G748" s="27"/>
      <c r="H748" s="47"/>
      <c r="I748" s="47"/>
      <c r="J748" s="229"/>
      <c r="K748" s="28"/>
      <c r="L748" s="28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</row>
    <row r="749" spans="1:27" ht="18.75">
      <c r="A749" s="121"/>
      <c r="B749" s="20" t="str">
        <f t="shared" si="11"/>
        <v>6635</v>
      </c>
      <c r="C749" s="21"/>
      <c r="D749" s="63" t="s">
        <v>3455</v>
      </c>
      <c r="E749" s="21">
        <v>45</v>
      </c>
      <c r="F749" s="46" t="s">
        <v>3456</v>
      </c>
      <c r="G749" s="27"/>
      <c r="H749" s="47"/>
      <c r="I749" s="47"/>
      <c r="J749" s="229"/>
      <c r="K749" s="28"/>
      <c r="L749" s="28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</row>
    <row r="750" spans="1:27" ht="18.75">
      <c r="A750" s="121"/>
      <c r="B750" s="20" t="str">
        <f t="shared" si="11"/>
        <v>6635</v>
      </c>
      <c r="C750" s="21"/>
      <c r="D750" s="63" t="s">
        <v>3458</v>
      </c>
      <c r="E750" s="21">
        <v>45</v>
      </c>
      <c r="F750" s="46" t="s">
        <v>3459</v>
      </c>
      <c r="G750" s="27"/>
      <c r="H750" s="47"/>
      <c r="I750" s="47"/>
      <c r="J750" s="229"/>
      <c r="K750" s="28"/>
      <c r="L750" s="28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</row>
    <row r="751" spans="1:27" ht="18.75">
      <c r="A751" s="121"/>
      <c r="B751" s="20" t="str">
        <f t="shared" si="11"/>
        <v>6635</v>
      </c>
      <c r="C751" s="21"/>
      <c r="D751" s="63" t="s">
        <v>3460</v>
      </c>
      <c r="E751" s="21">
        <v>45</v>
      </c>
      <c r="F751" s="46" t="s">
        <v>1982</v>
      </c>
      <c r="G751" s="27"/>
      <c r="H751" s="47"/>
      <c r="I751" s="47"/>
      <c r="J751" s="229"/>
      <c r="K751" s="28"/>
      <c r="L751" s="28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</row>
    <row r="752" spans="1:27" ht="18.75">
      <c r="A752" s="121"/>
      <c r="B752" s="20" t="str">
        <f t="shared" si="11"/>
        <v>6635</v>
      </c>
      <c r="C752" s="21"/>
      <c r="D752" s="63" t="s">
        <v>3461</v>
      </c>
      <c r="E752" s="21">
        <v>45</v>
      </c>
      <c r="F752" s="46" t="s">
        <v>3462</v>
      </c>
      <c r="G752" s="27"/>
      <c r="H752" s="47"/>
      <c r="I752" s="47"/>
      <c r="J752" s="229"/>
      <c r="K752" s="28"/>
      <c r="L752" s="28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</row>
    <row r="753" spans="1:27" ht="18.75">
      <c r="A753" s="121"/>
      <c r="B753" s="20" t="str">
        <f t="shared" si="11"/>
        <v>6635</v>
      </c>
      <c r="C753" s="21"/>
      <c r="D753" s="63" t="s">
        <v>3463</v>
      </c>
      <c r="E753" s="21">
        <v>45</v>
      </c>
      <c r="F753" s="46" t="s">
        <v>3464</v>
      </c>
      <c r="G753" s="27"/>
      <c r="H753" s="47"/>
      <c r="I753" s="47"/>
      <c r="J753" s="229"/>
      <c r="K753" s="28"/>
      <c r="L753" s="28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</row>
    <row r="754" spans="1:27" ht="18.75">
      <c r="A754" s="121"/>
      <c r="B754" s="20" t="str">
        <f t="shared" si="11"/>
        <v>6670</v>
      </c>
      <c r="C754" s="21"/>
      <c r="D754" s="63" t="s">
        <v>3466</v>
      </c>
      <c r="E754" s="21">
        <v>45</v>
      </c>
      <c r="F754" s="46" t="s">
        <v>3467</v>
      </c>
      <c r="G754" s="27"/>
      <c r="H754" s="47"/>
      <c r="I754" s="47"/>
      <c r="J754" s="229"/>
      <c r="K754" s="28"/>
      <c r="L754" s="28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</row>
    <row r="755" spans="1:27" ht="18.75">
      <c r="A755" s="121"/>
      <c r="B755" s="20" t="str">
        <f t="shared" si="11"/>
        <v>6680</v>
      </c>
      <c r="C755" s="21"/>
      <c r="D755" s="63" t="s">
        <v>3469</v>
      </c>
      <c r="E755" s="21">
        <v>45</v>
      </c>
      <c r="F755" s="46" t="s">
        <v>3470</v>
      </c>
      <c r="G755" s="27"/>
      <c r="H755" s="47"/>
      <c r="I755" s="47"/>
      <c r="J755" s="229"/>
      <c r="K755" s="28"/>
      <c r="L755" s="28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</row>
    <row r="756" spans="1:27" ht="18.75">
      <c r="A756" s="121"/>
      <c r="B756" s="20" t="str">
        <f t="shared" si="11"/>
        <v>6685</v>
      </c>
      <c r="C756" s="21"/>
      <c r="D756" s="63" t="s">
        <v>3472</v>
      </c>
      <c r="E756" s="21">
        <v>45</v>
      </c>
      <c r="F756" s="46" t="s">
        <v>3473</v>
      </c>
      <c r="G756" s="27"/>
      <c r="H756" s="47"/>
      <c r="I756" s="47"/>
      <c r="J756" s="229"/>
      <c r="K756" s="28"/>
      <c r="L756" s="28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</row>
    <row r="757" spans="1:27" ht="18.75">
      <c r="A757" s="121"/>
      <c r="B757" s="20" t="str">
        <f t="shared" si="11"/>
        <v>6685</v>
      </c>
      <c r="C757" s="21"/>
      <c r="D757" s="63" t="s">
        <v>3475</v>
      </c>
      <c r="E757" s="21">
        <v>45</v>
      </c>
      <c r="F757" s="46" t="s">
        <v>1410</v>
      </c>
      <c r="G757" s="27"/>
      <c r="H757" s="47"/>
      <c r="I757" s="47"/>
      <c r="J757" s="229"/>
      <c r="K757" s="28"/>
      <c r="L757" s="28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  <c r="AA757" s="46"/>
    </row>
    <row r="758" spans="1:27" ht="18.75">
      <c r="A758" s="121"/>
      <c r="B758" s="20" t="str">
        <f t="shared" si="11"/>
        <v>8415</v>
      </c>
      <c r="C758" s="21"/>
      <c r="D758" s="63" t="s">
        <v>3477</v>
      </c>
      <c r="E758" s="21">
        <v>45</v>
      </c>
      <c r="F758" s="46" t="s">
        <v>741</v>
      </c>
      <c r="G758" s="27"/>
      <c r="H758" s="47"/>
      <c r="I758" s="47"/>
      <c r="J758" s="229"/>
      <c r="K758" s="28"/>
      <c r="L758" s="28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</row>
    <row r="759" spans="1:27" ht="18.75">
      <c r="A759" s="121"/>
      <c r="B759" s="20" t="str">
        <f t="shared" si="11"/>
        <v>8415</v>
      </c>
      <c r="C759" s="21"/>
      <c r="D759" s="63" t="s">
        <v>3478</v>
      </c>
      <c r="E759" s="21">
        <v>45</v>
      </c>
      <c r="F759" s="46" t="s">
        <v>745</v>
      </c>
      <c r="G759" s="27"/>
      <c r="H759" s="47"/>
      <c r="I759" s="47"/>
      <c r="J759" s="229"/>
      <c r="K759" s="28"/>
      <c r="L759" s="28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</row>
    <row r="760" spans="1:27" ht="18.75">
      <c r="A760" s="121"/>
      <c r="B760" s="20" t="str">
        <f t="shared" si="11"/>
        <v>10/4</v>
      </c>
      <c r="C760" s="21"/>
      <c r="D760" s="63" t="s">
        <v>3480</v>
      </c>
      <c r="E760" s="21">
        <v>46</v>
      </c>
      <c r="F760" s="46" t="s">
        <v>3481</v>
      </c>
      <c r="G760" s="27"/>
      <c r="H760" s="47"/>
      <c r="I760" s="47"/>
      <c r="J760" s="229"/>
      <c r="K760" s="28"/>
      <c r="L760" s="28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</row>
    <row r="761" spans="1:27" ht="18.75">
      <c r="A761" s="121"/>
      <c r="B761" s="20" t="str">
        <f t="shared" si="11"/>
        <v>2320</v>
      </c>
      <c r="C761" s="21"/>
      <c r="D761" s="63" t="s">
        <v>3482</v>
      </c>
      <c r="E761" s="21">
        <v>46</v>
      </c>
      <c r="F761" s="46" t="s">
        <v>3483</v>
      </c>
      <c r="G761" s="27"/>
      <c r="H761" s="47"/>
      <c r="I761" s="47"/>
      <c r="J761" s="229"/>
      <c r="K761" s="28"/>
      <c r="L761" s="28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</row>
    <row r="762" spans="1:27" ht="18.75">
      <c r="A762" s="121"/>
      <c r="B762" s="20" t="str">
        <f t="shared" si="11"/>
        <v>2320</v>
      </c>
      <c r="C762" s="21"/>
      <c r="D762" s="63" t="s">
        <v>3485</v>
      </c>
      <c r="E762" s="21">
        <v>46</v>
      </c>
      <c r="F762" s="46" t="s">
        <v>3486</v>
      </c>
      <c r="G762" s="27"/>
      <c r="H762" s="47">
        <v>9300000</v>
      </c>
      <c r="I762" s="47"/>
      <c r="J762" s="229"/>
      <c r="K762" s="28"/>
      <c r="L762" s="28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</row>
    <row r="763" spans="1:27" ht="18.75">
      <c r="A763" s="121"/>
      <c r="B763" s="20" t="str">
        <f t="shared" si="11"/>
        <v>2320</v>
      </c>
      <c r="C763" s="21"/>
      <c r="D763" s="63" t="s">
        <v>3488</v>
      </c>
      <c r="E763" s="21">
        <v>46</v>
      </c>
      <c r="F763" s="46" t="s">
        <v>3120</v>
      </c>
      <c r="G763" s="27"/>
      <c r="H763" s="47"/>
      <c r="I763" s="47"/>
      <c r="J763" s="229"/>
      <c r="K763" s="28"/>
      <c r="L763" s="28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</row>
    <row r="764" spans="1:27" ht="18.75">
      <c r="A764" s="121"/>
      <c r="B764" s="20" t="str">
        <f t="shared" si="11"/>
        <v>2320</v>
      </c>
      <c r="C764" s="21"/>
      <c r="D764" s="63" t="s">
        <v>3489</v>
      </c>
      <c r="E764" s="21">
        <v>46</v>
      </c>
      <c r="F764" s="46" t="s">
        <v>145</v>
      </c>
      <c r="G764" s="27"/>
      <c r="H764" s="47"/>
      <c r="I764" s="47"/>
      <c r="J764" s="229"/>
      <c r="K764" s="28"/>
      <c r="L764" s="28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</row>
    <row r="765" spans="1:27" ht="18.75">
      <c r="A765" s="121"/>
      <c r="B765" s="20" t="str">
        <f t="shared" si="11"/>
        <v>3805</v>
      </c>
      <c r="C765" s="21"/>
      <c r="D765" s="63" t="s">
        <v>3490</v>
      </c>
      <c r="E765" s="21">
        <v>46</v>
      </c>
      <c r="F765" s="46" t="s">
        <v>3491</v>
      </c>
      <c r="G765" s="27"/>
      <c r="H765" s="47"/>
      <c r="I765" s="47"/>
      <c r="J765" s="229"/>
      <c r="K765" s="28"/>
      <c r="L765" s="28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</row>
    <row r="766" spans="1:27" ht="18.75">
      <c r="A766" s="121"/>
      <c r="B766" s="20" t="str">
        <f t="shared" si="11"/>
        <v>3810</v>
      </c>
      <c r="C766" s="21"/>
      <c r="D766" s="63" t="s">
        <v>3492</v>
      </c>
      <c r="E766" s="21">
        <v>46</v>
      </c>
      <c r="F766" s="46" t="s">
        <v>3493</v>
      </c>
      <c r="G766" s="27"/>
      <c r="H766" s="47"/>
      <c r="I766" s="47"/>
      <c r="J766" s="229"/>
      <c r="K766" s="28"/>
      <c r="L766" s="28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</row>
    <row r="767" spans="1:27" ht="18.75">
      <c r="A767" s="121"/>
      <c r="B767" s="20" t="str">
        <f t="shared" si="11"/>
        <v>3895</v>
      </c>
      <c r="C767" s="21"/>
      <c r="D767" s="63" t="s">
        <v>3494</v>
      </c>
      <c r="E767" s="21">
        <v>46</v>
      </c>
      <c r="F767" s="46" t="s">
        <v>3495</v>
      </c>
      <c r="G767" s="27"/>
      <c r="H767" s="47"/>
      <c r="I767" s="47"/>
      <c r="J767" s="229"/>
      <c r="K767" s="28"/>
      <c r="L767" s="28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</row>
    <row r="768" spans="1:27" ht="18.75">
      <c r="A768" s="121"/>
      <c r="B768" s="20" t="str">
        <f t="shared" si="11"/>
        <v>3895</v>
      </c>
      <c r="C768" s="21"/>
      <c r="D768" s="63" t="s">
        <v>3496</v>
      </c>
      <c r="E768" s="21">
        <v>46</v>
      </c>
      <c r="F768" s="46" t="s">
        <v>3497</v>
      </c>
      <c r="G768" s="27"/>
      <c r="H768" s="47"/>
      <c r="I768" s="47"/>
      <c r="J768" s="229"/>
      <c r="K768" s="28"/>
      <c r="L768" s="28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</row>
    <row r="769" spans="1:27" ht="37.5">
      <c r="A769" s="121"/>
      <c r="B769" s="20" t="str">
        <f t="shared" si="11"/>
        <v>4120</v>
      </c>
      <c r="C769" s="21"/>
      <c r="D769" s="63" t="s">
        <v>3498</v>
      </c>
      <c r="E769" s="21">
        <v>46</v>
      </c>
      <c r="F769" s="46" t="s">
        <v>3499</v>
      </c>
      <c r="G769" s="27"/>
      <c r="H769" s="47"/>
      <c r="I769" s="47"/>
      <c r="J769" s="229"/>
      <c r="K769" s="28"/>
      <c r="L769" s="28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</row>
    <row r="770" spans="1:27" ht="37.5">
      <c r="A770" s="121"/>
      <c r="B770" s="20" t="str">
        <f t="shared" ref="B770:B833" si="12">LEFT(D770, SEARCH("",D770,4))</f>
        <v>4120</v>
      </c>
      <c r="C770" s="21"/>
      <c r="D770" s="63" t="s">
        <v>3500</v>
      </c>
      <c r="E770" s="21">
        <v>46</v>
      </c>
      <c r="F770" s="46" t="s">
        <v>3501</v>
      </c>
      <c r="G770" s="27"/>
      <c r="H770" s="47"/>
      <c r="I770" s="47"/>
      <c r="J770" s="229"/>
      <c r="K770" s="28"/>
      <c r="L770" s="28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</row>
    <row r="771" spans="1:27" ht="37.5">
      <c r="A771" s="121"/>
      <c r="B771" s="20" t="str">
        <f t="shared" si="12"/>
        <v>4120</v>
      </c>
      <c r="C771" s="21"/>
      <c r="D771" s="63" t="s">
        <v>3502</v>
      </c>
      <c r="E771" s="21">
        <v>46</v>
      </c>
      <c r="F771" s="46" t="s">
        <v>3503</v>
      </c>
      <c r="G771" s="27"/>
      <c r="H771" s="47"/>
      <c r="I771" s="47"/>
      <c r="J771" s="229"/>
      <c r="K771" s="28"/>
      <c r="L771" s="28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</row>
    <row r="772" spans="1:27" ht="37.5">
      <c r="A772" s="121"/>
      <c r="B772" s="20" t="str">
        <f t="shared" si="12"/>
        <v>4120</v>
      </c>
      <c r="C772" s="21"/>
      <c r="D772" s="63" t="s">
        <v>3504</v>
      </c>
      <c r="E772" s="21">
        <v>46</v>
      </c>
      <c r="F772" s="46" t="s">
        <v>3505</v>
      </c>
      <c r="G772" s="27"/>
      <c r="H772" s="47"/>
      <c r="I772" s="47"/>
      <c r="J772" s="229"/>
      <c r="K772" s="28"/>
      <c r="L772" s="28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</row>
    <row r="773" spans="1:27" ht="37.5">
      <c r="A773" s="121"/>
      <c r="B773" s="20" t="str">
        <f t="shared" si="12"/>
        <v>4120</v>
      </c>
      <c r="C773" s="21"/>
      <c r="D773" s="63" t="s">
        <v>3506</v>
      </c>
      <c r="E773" s="21">
        <v>46</v>
      </c>
      <c r="F773" s="46" t="s">
        <v>3507</v>
      </c>
      <c r="G773" s="27"/>
      <c r="H773" s="47"/>
      <c r="I773" s="47"/>
      <c r="J773" s="229"/>
      <c r="K773" s="28"/>
      <c r="L773" s="28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</row>
    <row r="774" spans="1:27" ht="18.75">
      <c r="A774" s="121"/>
      <c r="B774" s="20" t="str">
        <f t="shared" si="12"/>
        <v>4140</v>
      </c>
      <c r="C774" s="21"/>
      <c r="D774" s="63" t="s">
        <v>3508</v>
      </c>
      <c r="E774" s="21">
        <v>46</v>
      </c>
      <c r="F774" s="46" t="s">
        <v>3509</v>
      </c>
      <c r="G774" s="27"/>
      <c r="H774" s="47"/>
      <c r="I774" s="47"/>
      <c r="J774" s="229"/>
      <c r="K774" s="28"/>
      <c r="L774" s="28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</row>
    <row r="775" spans="1:27" ht="18.75">
      <c r="A775" s="121"/>
      <c r="B775" s="20" t="str">
        <f t="shared" si="12"/>
        <v>4210</v>
      </c>
      <c r="C775" s="21"/>
      <c r="D775" s="63" t="s">
        <v>3510</v>
      </c>
      <c r="E775" s="21">
        <v>46</v>
      </c>
      <c r="F775" s="46" t="s">
        <v>695</v>
      </c>
      <c r="G775" s="27"/>
      <c r="H775" s="47"/>
      <c r="I775" s="47"/>
      <c r="J775" s="229"/>
      <c r="K775" s="28"/>
      <c r="L775" s="28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</row>
    <row r="776" spans="1:27" ht="18.75">
      <c r="A776" s="121"/>
      <c r="B776" s="20" t="str">
        <f t="shared" si="12"/>
        <v>4210</v>
      </c>
      <c r="C776" s="21"/>
      <c r="D776" s="63" t="s">
        <v>3511</v>
      </c>
      <c r="E776" s="21">
        <v>46</v>
      </c>
      <c r="F776" s="46" t="s">
        <v>3512</v>
      </c>
      <c r="G776" s="27"/>
      <c r="H776" s="47"/>
      <c r="I776" s="47"/>
      <c r="J776" s="229"/>
      <c r="K776" s="28"/>
      <c r="L776" s="28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</row>
    <row r="777" spans="1:27" ht="18.75">
      <c r="A777" s="121"/>
      <c r="B777" s="20" t="str">
        <f t="shared" si="12"/>
        <v>4320</v>
      </c>
      <c r="C777" s="21"/>
      <c r="D777" s="63" t="s">
        <v>3513</v>
      </c>
      <c r="E777" s="21">
        <v>46</v>
      </c>
      <c r="F777" s="46" t="s">
        <v>3514</v>
      </c>
      <c r="G777" s="27"/>
      <c r="H777" s="47"/>
      <c r="I777" s="47"/>
      <c r="J777" s="229"/>
      <c r="K777" s="28"/>
      <c r="L777" s="28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</row>
    <row r="778" spans="1:27" ht="18.75">
      <c r="A778" s="121"/>
      <c r="B778" s="20" t="str">
        <f t="shared" si="12"/>
        <v>4320</v>
      </c>
      <c r="C778" s="21"/>
      <c r="D778" s="63" t="s">
        <v>3515</v>
      </c>
      <c r="E778" s="21">
        <v>46</v>
      </c>
      <c r="F778" s="46" t="s">
        <v>3516</v>
      </c>
      <c r="G778" s="27"/>
      <c r="H778" s="47"/>
      <c r="I778" s="47"/>
      <c r="J778" s="229"/>
      <c r="K778" s="28"/>
      <c r="L778" s="28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</row>
    <row r="779" spans="1:27" ht="18.75">
      <c r="A779" s="121"/>
      <c r="B779" s="20" t="str">
        <f t="shared" si="12"/>
        <v>4320</v>
      </c>
      <c r="C779" s="21"/>
      <c r="D779" s="63" t="s">
        <v>3517</v>
      </c>
      <c r="E779" s="21">
        <v>46</v>
      </c>
      <c r="F779" s="46" t="s">
        <v>3518</v>
      </c>
      <c r="G779" s="27"/>
      <c r="H779" s="47"/>
      <c r="I779" s="47"/>
      <c r="J779" s="229"/>
      <c r="K779" s="28"/>
      <c r="L779" s="28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</row>
    <row r="780" spans="1:27" ht="18.75">
      <c r="A780" s="121"/>
      <c r="B780" s="20" t="str">
        <f t="shared" si="12"/>
        <v>4320</v>
      </c>
      <c r="C780" s="21"/>
      <c r="D780" s="63" t="s">
        <v>3515</v>
      </c>
      <c r="E780" s="21">
        <v>46</v>
      </c>
      <c r="F780" s="46" t="s">
        <v>3519</v>
      </c>
      <c r="G780" s="27"/>
      <c r="H780" s="47"/>
      <c r="I780" s="47"/>
      <c r="J780" s="229"/>
      <c r="K780" s="28"/>
      <c r="L780" s="28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</row>
    <row r="781" spans="1:27" ht="18.75">
      <c r="A781" s="121"/>
      <c r="B781" s="20" t="str">
        <f t="shared" si="12"/>
        <v>4320</v>
      </c>
      <c r="C781" s="21"/>
      <c r="D781" s="63" t="s">
        <v>3520</v>
      </c>
      <c r="E781" s="21">
        <v>46</v>
      </c>
      <c r="F781" s="46" t="s">
        <v>3521</v>
      </c>
      <c r="G781" s="27"/>
      <c r="H781" s="47"/>
      <c r="I781" s="47"/>
      <c r="J781" s="229"/>
      <c r="K781" s="28"/>
      <c r="L781" s="28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</row>
    <row r="782" spans="1:27" ht="18.75">
      <c r="A782" s="121"/>
      <c r="B782" s="20" t="str">
        <f t="shared" si="12"/>
        <v>4320</v>
      </c>
      <c r="C782" s="21"/>
      <c r="D782" s="63" t="s">
        <v>3522</v>
      </c>
      <c r="E782" s="21">
        <v>46</v>
      </c>
      <c r="F782" s="46" t="s">
        <v>3523</v>
      </c>
      <c r="G782" s="27"/>
      <c r="H782" s="47"/>
      <c r="I782" s="47"/>
      <c r="J782" s="229"/>
      <c r="K782" s="28"/>
      <c r="L782" s="28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</row>
    <row r="783" spans="1:27" ht="18.75">
      <c r="A783" s="121"/>
      <c r="B783" s="20" t="str">
        <f t="shared" si="12"/>
        <v>4320</v>
      </c>
      <c r="C783" s="21"/>
      <c r="D783" s="63" t="s">
        <v>3524</v>
      </c>
      <c r="E783" s="21">
        <v>46</v>
      </c>
      <c r="F783" s="46" t="s">
        <v>3525</v>
      </c>
      <c r="G783" s="27"/>
      <c r="H783" s="47"/>
      <c r="I783" s="47"/>
      <c r="J783" s="229"/>
      <c r="K783" s="28"/>
      <c r="L783" s="28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</row>
    <row r="784" spans="1:27" ht="37.5">
      <c r="A784" s="121"/>
      <c r="B784" s="20" t="str">
        <f t="shared" si="12"/>
        <v>4320</v>
      </c>
      <c r="C784" s="21"/>
      <c r="D784" s="63" t="s">
        <v>3526</v>
      </c>
      <c r="E784" s="21">
        <v>46</v>
      </c>
      <c r="F784" s="46" t="s">
        <v>3527</v>
      </c>
      <c r="G784" s="27"/>
      <c r="H784" s="47"/>
      <c r="I784" s="47"/>
      <c r="J784" s="229"/>
      <c r="K784" s="28"/>
      <c r="L784" s="28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</row>
    <row r="785" spans="1:27" ht="18.75">
      <c r="A785" s="121"/>
      <c r="B785" s="20" t="str">
        <f t="shared" si="12"/>
        <v>4320</v>
      </c>
      <c r="C785" s="21"/>
      <c r="D785" s="63" t="s">
        <v>3528</v>
      </c>
      <c r="E785" s="21">
        <v>46</v>
      </c>
      <c r="F785" s="46" t="s">
        <v>3529</v>
      </c>
      <c r="G785" s="27"/>
      <c r="H785" s="47"/>
      <c r="I785" s="47"/>
      <c r="J785" s="229"/>
      <c r="K785" s="28"/>
      <c r="L785" s="28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</row>
    <row r="786" spans="1:27" ht="18.75">
      <c r="A786" s="121"/>
      <c r="B786" s="20" t="str">
        <f t="shared" si="12"/>
        <v>4320</v>
      </c>
      <c r="C786" s="21"/>
      <c r="D786" s="63" t="s">
        <v>3530</v>
      </c>
      <c r="E786" s="21">
        <v>46</v>
      </c>
      <c r="F786" s="46" t="s">
        <v>3531</v>
      </c>
      <c r="G786" s="27"/>
      <c r="H786" s="47"/>
      <c r="I786" s="47"/>
      <c r="J786" s="229"/>
      <c r="K786" s="28"/>
      <c r="L786" s="28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</row>
    <row r="787" spans="1:27" ht="18.75">
      <c r="A787" s="121"/>
      <c r="B787" s="20" t="str">
        <f t="shared" si="12"/>
        <v>4320</v>
      </c>
      <c r="C787" s="21"/>
      <c r="D787" s="63" t="s">
        <v>3532</v>
      </c>
      <c r="E787" s="21">
        <v>46</v>
      </c>
      <c r="F787" s="46" t="s">
        <v>3533</v>
      </c>
      <c r="G787" s="27"/>
      <c r="H787" s="47"/>
      <c r="I787" s="47"/>
      <c r="J787" s="229"/>
      <c r="K787" s="28"/>
      <c r="L787" s="28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</row>
    <row r="788" spans="1:27" ht="18.75">
      <c r="A788" s="121"/>
      <c r="B788" s="20" t="str">
        <f t="shared" si="12"/>
        <v>4320</v>
      </c>
      <c r="C788" s="21"/>
      <c r="D788" s="63" t="s">
        <v>3534</v>
      </c>
      <c r="E788" s="21">
        <v>46</v>
      </c>
      <c r="F788" s="46" t="s">
        <v>3535</v>
      </c>
      <c r="G788" s="27"/>
      <c r="H788" s="47"/>
      <c r="I788" s="47"/>
      <c r="J788" s="229"/>
      <c r="K788" s="28"/>
      <c r="L788" s="28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</row>
    <row r="789" spans="1:27" ht="18.75">
      <c r="A789" s="121"/>
      <c r="B789" s="20" t="str">
        <f t="shared" si="12"/>
        <v>4320</v>
      </c>
      <c r="C789" s="21"/>
      <c r="D789" s="63" t="s">
        <v>3536</v>
      </c>
      <c r="E789" s="21">
        <v>46</v>
      </c>
      <c r="F789" s="46" t="s">
        <v>3537</v>
      </c>
      <c r="G789" s="27"/>
      <c r="H789" s="47"/>
      <c r="I789" s="47"/>
      <c r="J789" s="229"/>
      <c r="K789" s="28"/>
      <c r="L789" s="28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</row>
    <row r="790" spans="1:27" ht="37.5">
      <c r="A790" s="121"/>
      <c r="B790" s="20" t="str">
        <f t="shared" si="12"/>
        <v>4440</v>
      </c>
      <c r="C790" s="21"/>
      <c r="D790" s="63" t="s">
        <v>3538</v>
      </c>
      <c r="E790" s="21">
        <v>46</v>
      </c>
      <c r="F790" s="46" t="s">
        <v>3539</v>
      </c>
      <c r="G790" s="27"/>
      <c r="H790" s="47">
        <v>11000</v>
      </c>
      <c r="I790" s="47"/>
      <c r="J790" s="229"/>
      <c r="K790" s="28"/>
      <c r="L790" s="28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</row>
    <row r="791" spans="1:27" ht="18.75">
      <c r="A791" s="121"/>
      <c r="B791" s="20" t="str">
        <f t="shared" si="12"/>
        <v>4610</v>
      </c>
      <c r="C791" s="21"/>
      <c r="D791" s="63" t="s">
        <v>3540</v>
      </c>
      <c r="E791" s="21">
        <v>46</v>
      </c>
      <c r="F791" s="46" t="s">
        <v>1955</v>
      </c>
      <c r="G791" s="27"/>
      <c r="H791" s="47"/>
      <c r="I791" s="47"/>
      <c r="J791" s="229"/>
      <c r="K791" s="28"/>
      <c r="L791" s="28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</row>
    <row r="792" spans="1:27" ht="18.75">
      <c r="A792" s="121"/>
      <c r="B792" s="20" t="str">
        <f t="shared" si="12"/>
        <v>4930</v>
      </c>
      <c r="C792" s="21"/>
      <c r="D792" s="63" t="s">
        <v>3541</v>
      </c>
      <c r="E792" s="21">
        <v>46</v>
      </c>
      <c r="F792" s="46" t="s">
        <v>3542</v>
      </c>
      <c r="G792" s="27"/>
      <c r="H792" s="47"/>
      <c r="I792" s="47"/>
      <c r="J792" s="229"/>
      <c r="K792" s="28"/>
      <c r="L792" s="28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</row>
    <row r="793" spans="1:27" ht="18.75">
      <c r="A793" s="121"/>
      <c r="B793" s="20" t="str">
        <f t="shared" si="12"/>
        <v>4940</v>
      </c>
      <c r="C793" s="21"/>
      <c r="D793" s="63" t="s">
        <v>3543</v>
      </c>
      <c r="E793" s="21">
        <v>46</v>
      </c>
      <c r="F793" s="46" t="s">
        <v>3544</v>
      </c>
      <c r="G793" s="27"/>
      <c r="H793" s="47"/>
      <c r="I793" s="47"/>
      <c r="J793" s="229"/>
      <c r="K793" s="28"/>
      <c r="L793" s="28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</row>
    <row r="794" spans="1:27" ht="18.75">
      <c r="A794" s="121"/>
      <c r="B794" s="20" t="str">
        <f t="shared" si="12"/>
        <v>5136</v>
      </c>
      <c r="C794" s="21"/>
      <c r="D794" s="63" t="s">
        <v>3545</v>
      </c>
      <c r="E794" s="21">
        <v>46</v>
      </c>
      <c r="F794" s="46" t="s">
        <v>3546</v>
      </c>
      <c r="G794" s="27"/>
      <c r="H794" s="47"/>
      <c r="I794" s="47"/>
      <c r="J794" s="229"/>
      <c r="K794" s="28"/>
      <c r="L794" s="28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</row>
    <row r="795" spans="1:27" ht="18.75">
      <c r="A795" s="121"/>
      <c r="B795" s="20" t="str">
        <f t="shared" si="12"/>
        <v>6110</v>
      </c>
      <c r="C795" s="21"/>
      <c r="D795" s="63" t="s">
        <v>3547</v>
      </c>
      <c r="E795" s="21">
        <v>46</v>
      </c>
      <c r="F795" s="46" t="s">
        <v>3548</v>
      </c>
      <c r="G795" s="27"/>
      <c r="H795" s="47"/>
      <c r="I795" s="47"/>
      <c r="J795" s="229"/>
      <c r="K795" s="28"/>
      <c r="L795" s="28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</row>
    <row r="796" spans="1:27" ht="18.75">
      <c r="A796" s="121"/>
      <c r="B796" s="20" t="str">
        <f t="shared" si="12"/>
        <v>6110</v>
      </c>
      <c r="C796" s="21"/>
      <c r="D796" s="63" t="s">
        <v>3549</v>
      </c>
      <c r="E796" s="21">
        <v>46</v>
      </c>
      <c r="F796" s="46" t="s">
        <v>3550</v>
      </c>
      <c r="G796" s="27"/>
      <c r="H796" s="47"/>
      <c r="I796" s="47"/>
      <c r="J796" s="229"/>
      <c r="K796" s="28"/>
      <c r="L796" s="28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</row>
    <row r="797" spans="1:27" ht="37.5">
      <c r="A797" s="121"/>
      <c r="B797" s="20" t="str">
        <f t="shared" si="12"/>
        <v>6115</v>
      </c>
      <c r="C797" s="21"/>
      <c r="D797" s="63" t="s">
        <v>3551</v>
      </c>
      <c r="E797" s="21">
        <v>46</v>
      </c>
      <c r="F797" s="46" t="s">
        <v>3552</v>
      </c>
      <c r="G797" s="27"/>
      <c r="H797" s="47"/>
      <c r="I797" s="47"/>
      <c r="J797" s="229"/>
      <c r="K797" s="28"/>
      <c r="L797" s="28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</row>
    <row r="798" spans="1:27" ht="18.75">
      <c r="A798" s="121"/>
      <c r="B798" s="20" t="str">
        <f t="shared" si="12"/>
        <v>6130</v>
      </c>
      <c r="C798" s="21"/>
      <c r="D798" s="63" t="s">
        <v>3553</v>
      </c>
      <c r="E798" s="21">
        <v>46</v>
      </c>
      <c r="F798" s="46" t="s">
        <v>3554</v>
      </c>
      <c r="G798" s="27"/>
      <c r="H798" s="47"/>
      <c r="I798" s="47"/>
      <c r="J798" s="229"/>
      <c r="K798" s="28"/>
      <c r="L798" s="28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  <c r="AA798" s="46"/>
    </row>
    <row r="799" spans="1:27" ht="18.75">
      <c r="A799" s="121"/>
      <c r="B799" s="20" t="str">
        <f t="shared" si="12"/>
        <v>6630</v>
      </c>
      <c r="C799" s="21"/>
      <c r="D799" s="63" t="s">
        <v>3555</v>
      </c>
      <c r="E799" s="21">
        <v>46</v>
      </c>
      <c r="F799" s="46" t="s">
        <v>3394</v>
      </c>
      <c r="G799" s="27"/>
      <c r="H799" s="47"/>
      <c r="I799" s="47"/>
      <c r="J799" s="229"/>
      <c r="K799" s="28"/>
      <c r="L799" s="28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</row>
    <row r="800" spans="1:27" ht="18.75">
      <c r="A800" s="121"/>
      <c r="B800" s="20" t="str">
        <f t="shared" si="12"/>
        <v>1/47</v>
      </c>
      <c r="C800" s="21"/>
      <c r="D800" s="63" t="s">
        <v>3556</v>
      </c>
      <c r="E800" s="21">
        <v>47</v>
      </c>
      <c r="F800" s="46" t="s">
        <v>3557</v>
      </c>
      <c r="G800" s="27"/>
      <c r="H800" s="47"/>
      <c r="I800" s="47"/>
      <c r="J800" s="229"/>
      <c r="K800" s="28"/>
      <c r="L800" s="28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  <c r="AA800" s="46"/>
    </row>
    <row r="801" spans="1:27" ht="18.75">
      <c r="A801" s="121"/>
      <c r="B801" s="20" t="str">
        <f t="shared" si="12"/>
        <v>3750</v>
      </c>
      <c r="C801" s="21"/>
      <c r="D801" s="63" t="s">
        <v>3558</v>
      </c>
      <c r="E801" s="21">
        <v>47</v>
      </c>
      <c r="F801" s="46" t="s">
        <v>3559</v>
      </c>
      <c r="G801" s="27"/>
      <c r="H801" s="47"/>
      <c r="I801" s="47"/>
      <c r="J801" s="229"/>
      <c r="K801" s="28"/>
      <c r="L801" s="28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</row>
    <row r="802" spans="1:27" ht="18.75">
      <c r="A802" s="121"/>
      <c r="B802" s="20" t="str">
        <f t="shared" si="12"/>
        <v>3805</v>
      </c>
      <c r="C802" s="21"/>
      <c r="D802" s="63" t="s">
        <v>3560</v>
      </c>
      <c r="E802" s="21">
        <v>47</v>
      </c>
      <c r="F802" s="46" t="s">
        <v>3561</v>
      </c>
      <c r="G802" s="27"/>
      <c r="H802" s="47"/>
      <c r="I802" s="47"/>
      <c r="J802" s="229"/>
      <c r="K802" s="28"/>
      <c r="L802" s="28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</row>
    <row r="803" spans="1:27" ht="18.75">
      <c r="A803" s="121"/>
      <c r="B803" s="20" t="str">
        <f t="shared" si="12"/>
        <v>3805</v>
      </c>
      <c r="C803" s="21"/>
      <c r="D803" s="63" t="s">
        <v>3562</v>
      </c>
      <c r="E803" s="21">
        <v>47</v>
      </c>
      <c r="F803" s="46" t="s">
        <v>3563</v>
      </c>
      <c r="G803" s="27"/>
      <c r="H803" s="47"/>
      <c r="I803" s="47"/>
      <c r="J803" s="229"/>
      <c r="K803" s="28"/>
      <c r="L803" s="28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</row>
    <row r="804" spans="1:27" ht="18.75">
      <c r="A804" s="121"/>
      <c r="B804" s="20" t="str">
        <f t="shared" si="12"/>
        <v>3895</v>
      </c>
      <c r="C804" s="21"/>
      <c r="D804" s="63" t="s">
        <v>3564</v>
      </c>
      <c r="E804" s="21">
        <v>47</v>
      </c>
      <c r="F804" s="46" t="s">
        <v>3565</v>
      </c>
      <c r="G804" s="27"/>
      <c r="H804" s="47"/>
      <c r="I804" s="47"/>
      <c r="J804" s="229"/>
      <c r="K804" s="28"/>
      <c r="L804" s="28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</row>
    <row r="805" spans="1:27" ht="37.5">
      <c r="A805" s="121"/>
      <c r="B805" s="20" t="str">
        <f t="shared" si="12"/>
        <v>3895</v>
      </c>
      <c r="C805" s="21"/>
      <c r="D805" s="63" t="s">
        <v>3566</v>
      </c>
      <c r="E805" s="21">
        <v>47</v>
      </c>
      <c r="F805" s="46" t="s">
        <v>3567</v>
      </c>
      <c r="G805" s="27"/>
      <c r="H805" s="47"/>
      <c r="I805" s="47"/>
      <c r="J805" s="229"/>
      <c r="K805" s="28"/>
      <c r="L805" s="28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</row>
    <row r="806" spans="1:27" ht="18.75">
      <c r="A806" s="121"/>
      <c r="B806" s="20" t="str">
        <f t="shared" si="12"/>
        <v>3895</v>
      </c>
      <c r="C806" s="21"/>
      <c r="D806" s="63" t="s">
        <v>3568</v>
      </c>
      <c r="E806" s="21">
        <v>47</v>
      </c>
      <c r="F806" s="46" t="s">
        <v>3569</v>
      </c>
      <c r="G806" s="27"/>
      <c r="H806" s="47"/>
      <c r="I806" s="47"/>
      <c r="J806" s="229"/>
      <c r="K806" s="28"/>
      <c r="L806" s="28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  <c r="AA806" s="46"/>
    </row>
    <row r="807" spans="1:27" ht="18.75">
      <c r="A807" s="121"/>
      <c r="B807" s="20" t="str">
        <f t="shared" si="12"/>
        <v>3930</v>
      </c>
      <c r="C807" s="21"/>
      <c r="D807" s="63" t="s">
        <v>3570</v>
      </c>
      <c r="E807" s="21">
        <v>47</v>
      </c>
      <c r="F807" s="46" t="s">
        <v>3571</v>
      </c>
      <c r="G807" s="27"/>
      <c r="H807" s="47"/>
      <c r="I807" s="47"/>
      <c r="J807" s="229"/>
      <c r="K807" s="28"/>
      <c r="L807" s="28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  <c r="AA807" s="46"/>
    </row>
    <row r="808" spans="1:27" ht="37.5">
      <c r="A808" s="121"/>
      <c r="B808" s="20" t="str">
        <f t="shared" si="12"/>
        <v>4120</v>
      </c>
      <c r="C808" s="21"/>
      <c r="D808" s="63" t="s">
        <v>3572</v>
      </c>
      <c r="E808" s="21">
        <v>47</v>
      </c>
      <c r="F808" s="46" t="s">
        <v>3573</v>
      </c>
      <c r="G808" s="27"/>
      <c r="H808" s="47"/>
      <c r="I808" s="47"/>
      <c r="J808" s="229"/>
      <c r="K808" s="28"/>
      <c r="L808" s="28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</row>
    <row r="809" spans="1:27" ht="37.5">
      <c r="A809" s="121"/>
      <c r="B809" s="20" t="str">
        <f t="shared" si="12"/>
        <v>4120</v>
      </c>
      <c r="C809" s="21"/>
      <c r="D809" s="63" t="s">
        <v>3574</v>
      </c>
      <c r="E809" s="21">
        <v>47</v>
      </c>
      <c r="F809" s="46" t="s">
        <v>3575</v>
      </c>
      <c r="G809" s="27"/>
      <c r="H809" s="47"/>
      <c r="I809" s="47"/>
      <c r="J809" s="229"/>
      <c r="K809" s="28"/>
      <c r="L809" s="28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</row>
    <row r="810" spans="1:27" ht="18.75">
      <c r="A810" s="121"/>
      <c r="B810" s="20" t="str">
        <f t="shared" si="12"/>
        <v>4320</v>
      </c>
      <c r="C810" s="21"/>
      <c r="D810" s="63" t="s">
        <v>3576</v>
      </c>
      <c r="E810" s="21">
        <v>47</v>
      </c>
      <c r="F810" s="46" t="s">
        <v>3578</v>
      </c>
      <c r="G810" s="27"/>
      <c r="H810" s="47"/>
      <c r="I810" s="47"/>
      <c r="J810" s="229"/>
      <c r="K810" s="28"/>
      <c r="L810" s="28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</row>
    <row r="811" spans="1:27" ht="18.75">
      <c r="A811" s="121"/>
      <c r="B811" s="20" t="str">
        <f t="shared" si="12"/>
        <v>4320</v>
      </c>
      <c r="C811" s="21"/>
      <c r="D811" s="63" t="s">
        <v>3579</v>
      </c>
      <c r="E811" s="21">
        <v>47</v>
      </c>
      <c r="F811" s="46" t="s">
        <v>3580</v>
      </c>
      <c r="G811" s="27"/>
      <c r="H811" s="47"/>
      <c r="I811" s="47"/>
      <c r="J811" s="229"/>
      <c r="K811" s="28"/>
      <c r="L811" s="28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</row>
    <row r="812" spans="1:27" ht="18.75">
      <c r="A812" s="121"/>
      <c r="B812" s="20" t="str">
        <f t="shared" si="12"/>
        <v>4320</v>
      </c>
      <c r="C812" s="21"/>
      <c r="D812" s="63" t="s">
        <v>3581</v>
      </c>
      <c r="E812" s="21">
        <v>47</v>
      </c>
      <c r="F812" s="46" t="s">
        <v>3582</v>
      </c>
      <c r="G812" s="27"/>
      <c r="H812" s="47"/>
      <c r="I812" s="47"/>
      <c r="J812" s="229"/>
      <c r="K812" s="28"/>
      <c r="L812" s="28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</row>
    <row r="813" spans="1:27" ht="18.75">
      <c r="A813" s="121"/>
      <c r="B813" s="20" t="str">
        <f t="shared" si="12"/>
        <v>4720</v>
      </c>
      <c r="C813" s="21"/>
      <c r="D813" s="63" t="s">
        <v>3584</v>
      </c>
      <c r="E813" s="21">
        <v>47</v>
      </c>
      <c r="F813" s="46" t="s">
        <v>3585</v>
      </c>
      <c r="G813" s="27"/>
      <c r="H813" s="47"/>
      <c r="I813" s="47"/>
      <c r="J813" s="229"/>
      <c r="K813" s="28"/>
      <c r="L813" s="28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</row>
    <row r="814" spans="1:27" ht="37.5">
      <c r="A814" s="121"/>
      <c r="B814" s="20" t="str">
        <f t="shared" si="12"/>
        <v>6110</v>
      </c>
      <c r="C814" s="21"/>
      <c r="D814" s="63" t="s">
        <v>3586</v>
      </c>
      <c r="E814" s="21">
        <v>47</v>
      </c>
      <c r="F814" s="46" t="s">
        <v>3587</v>
      </c>
      <c r="G814" s="27"/>
      <c r="H814" s="47"/>
      <c r="I814" s="47"/>
      <c r="J814" s="229"/>
      <c r="K814" s="28"/>
      <c r="L814" s="28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</row>
    <row r="815" spans="1:27" ht="18.75">
      <c r="A815" s="121"/>
      <c r="B815" s="20" t="str">
        <f t="shared" si="12"/>
        <v>6125</v>
      </c>
      <c r="C815" s="21"/>
      <c r="D815" s="63" t="s">
        <v>3589</v>
      </c>
      <c r="E815" s="21">
        <v>47</v>
      </c>
      <c r="F815" s="46" t="s">
        <v>3590</v>
      </c>
      <c r="G815" s="27"/>
      <c r="H815" s="47"/>
      <c r="I815" s="47"/>
      <c r="J815" s="229"/>
      <c r="K815" s="28"/>
      <c r="L815" s="28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  <c r="AA815" s="46"/>
    </row>
    <row r="816" spans="1:27" ht="18.75">
      <c r="A816" s="121"/>
      <c r="B816" s="20" t="str">
        <f t="shared" si="12"/>
        <v>6210</v>
      </c>
      <c r="C816" s="21"/>
      <c r="D816" s="63" t="s">
        <v>3591</v>
      </c>
      <c r="E816" s="21">
        <v>47</v>
      </c>
      <c r="F816" s="46" t="s">
        <v>3592</v>
      </c>
      <c r="G816" s="27"/>
      <c r="H816" s="47"/>
      <c r="I816" s="47"/>
      <c r="J816" s="229"/>
      <c r="K816" s="28"/>
      <c r="L816" s="28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  <c r="AA816" s="46"/>
    </row>
    <row r="817" spans="1:27" ht="18.75">
      <c r="A817" s="121"/>
      <c r="B817" s="20" t="str">
        <f t="shared" si="12"/>
        <v>6840</v>
      </c>
      <c r="C817" s="21"/>
      <c r="D817" s="63" t="s">
        <v>3593</v>
      </c>
      <c r="E817" s="21">
        <v>47</v>
      </c>
      <c r="F817" s="46" t="s">
        <v>3594</v>
      </c>
      <c r="G817" s="27"/>
      <c r="H817" s="47"/>
      <c r="I817" s="47"/>
      <c r="J817" s="229"/>
      <c r="K817" s="28"/>
      <c r="L817" s="28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</row>
    <row r="818" spans="1:27" ht="18.75">
      <c r="A818" s="121"/>
      <c r="B818" s="20" t="str">
        <f t="shared" si="12"/>
        <v>6840</v>
      </c>
      <c r="C818" s="21"/>
      <c r="D818" s="63" t="s">
        <v>3596</v>
      </c>
      <c r="E818" s="21">
        <v>47</v>
      </c>
      <c r="F818" s="46" t="s">
        <v>3597</v>
      </c>
      <c r="G818" s="27"/>
      <c r="H818" s="47"/>
      <c r="I818" s="47"/>
      <c r="J818" s="229"/>
      <c r="K818" s="28"/>
      <c r="L818" s="28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</row>
    <row r="819" spans="1:27" ht="18.75">
      <c r="A819" s="121"/>
      <c r="B819" s="20" t="str">
        <f t="shared" si="12"/>
        <v>3750</v>
      </c>
      <c r="C819" s="21"/>
      <c r="D819" s="63" t="s">
        <v>3598</v>
      </c>
      <c r="E819" s="21">
        <v>48</v>
      </c>
      <c r="F819" s="46" t="s">
        <v>3599</v>
      </c>
      <c r="G819" s="27"/>
      <c r="H819" s="47"/>
      <c r="I819" s="47"/>
      <c r="J819" s="229"/>
      <c r="K819" s="28"/>
      <c r="L819" s="28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</row>
    <row r="820" spans="1:27" ht="18.75">
      <c r="A820" s="121"/>
      <c r="B820" s="20" t="str">
        <f t="shared" si="12"/>
        <v>3930</v>
      </c>
      <c r="C820" s="21"/>
      <c r="D820" s="63" t="s">
        <v>3603</v>
      </c>
      <c r="E820" s="21">
        <v>48</v>
      </c>
      <c r="F820" s="46" t="s">
        <v>459</v>
      </c>
      <c r="G820" s="27"/>
      <c r="H820" s="47"/>
      <c r="I820" s="47"/>
      <c r="J820" s="229"/>
      <c r="K820" s="28"/>
      <c r="L820" s="28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</row>
    <row r="821" spans="1:27" ht="37.5">
      <c r="A821" s="121"/>
      <c r="B821" s="20" t="str">
        <f t="shared" si="12"/>
        <v>4120</v>
      </c>
      <c r="C821" s="21"/>
      <c r="D821" s="63" t="s">
        <v>3604</v>
      </c>
      <c r="E821" s="21">
        <v>48</v>
      </c>
      <c r="F821" s="46" t="s">
        <v>3605</v>
      </c>
      <c r="G821" s="27"/>
      <c r="H821" s="47"/>
      <c r="I821" s="47"/>
      <c r="J821" s="229"/>
      <c r="K821" s="28"/>
      <c r="L821" s="28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</row>
    <row r="822" spans="1:27" ht="37.5">
      <c r="A822" s="121"/>
      <c r="B822" s="20" t="str">
        <f t="shared" si="12"/>
        <v>4120</v>
      </c>
      <c r="C822" s="21"/>
      <c r="D822" s="63" t="s">
        <v>3607</v>
      </c>
      <c r="E822" s="21">
        <v>48</v>
      </c>
      <c r="F822" s="46" t="s">
        <v>3608</v>
      </c>
      <c r="G822" s="27"/>
      <c r="H822" s="47"/>
      <c r="I822" s="47"/>
      <c r="J822" s="229"/>
      <c r="K822" s="28"/>
      <c r="L822" s="28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</row>
    <row r="823" spans="1:27" ht="37.5">
      <c r="A823" s="121"/>
      <c r="B823" s="20" t="str">
        <f t="shared" si="12"/>
        <v>4120</v>
      </c>
      <c r="C823" s="21"/>
      <c r="D823" s="63" t="s">
        <v>3609</v>
      </c>
      <c r="E823" s="21">
        <v>48</v>
      </c>
      <c r="F823" s="46" t="s">
        <v>3610</v>
      </c>
      <c r="G823" s="27"/>
      <c r="H823" s="47"/>
      <c r="I823" s="47"/>
      <c r="J823" s="229"/>
      <c r="K823" s="28"/>
      <c r="L823" s="28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</row>
    <row r="824" spans="1:27" ht="18.75">
      <c r="A824" s="121"/>
      <c r="B824" s="20" t="str">
        <f t="shared" si="12"/>
        <v>4210</v>
      </c>
      <c r="C824" s="21"/>
      <c r="D824" s="63" t="s">
        <v>3612</v>
      </c>
      <c r="E824" s="21">
        <v>48</v>
      </c>
      <c r="F824" s="46" t="s">
        <v>3613</v>
      </c>
      <c r="G824" s="27"/>
      <c r="H824" s="47"/>
      <c r="I824" s="47"/>
      <c r="J824" s="229"/>
      <c r="K824" s="28"/>
      <c r="L824" s="28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</row>
    <row r="825" spans="1:27" ht="37.5">
      <c r="A825" s="121"/>
      <c r="B825" s="20" t="str">
        <f t="shared" si="12"/>
        <v>4210</v>
      </c>
      <c r="C825" s="21"/>
      <c r="D825" s="63" t="s">
        <v>3612</v>
      </c>
      <c r="E825" s="21">
        <v>48</v>
      </c>
      <c r="F825" s="46" t="s">
        <v>3614</v>
      </c>
      <c r="G825" s="27"/>
      <c r="H825" s="47"/>
      <c r="I825" s="47"/>
      <c r="J825" s="229"/>
      <c r="K825" s="28"/>
      <c r="L825" s="28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</row>
    <row r="826" spans="1:27" ht="37.5">
      <c r="A826" s="121"/>
      <c r="B826" s="20" t="str">
        <f t="shared" si="12"/>
        <v>4210</v>
      </c>
      <c r="C826" s="21"/>
      <c r="D826" s="63" t="s">
        <v>3615</v>
      </c>
      <c r="E826" s="21">
        <v>48</v>
      </c>
      <c r="F826" s="46" t="s">
        <v>3616</v>
      </c>
      <c r="G826" s="27"/>
      <c r="H826" s="47"/>
      <c r="I826" s="47"/>
      <c r="J826" s="229"/>
      <c r="K826" s="28"/>
      <c r="L826" s="28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</row>
    <row r="827" spans="1:27" ht="18.75">
      <c r="A827" s="121"/>
      <c r="B827" s="20" t="str">
        <f t="shared" si="12"/>
        <v>4320</v>
      </c>
      <c r="C827" s="21"/>
      <c r="D827" s="63" t="s">
        <v>3617</v>
      </c>
      <c r="E827" s="21">
        <v>48</v>
      </c>
      <c r="F827" s="46" t="s">
        <v>792</v>
      </c>
      <c r="G827" s="27"/>
      <c r="H827" s="47"/>
      <c r="I827" s="47"/>
      <c r="J827" s="229"/>
      <c r="K827" s="28"/>
      <c r="L827" s="28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  <c r="AA827" s="46"/>
    </row>
    <row r="828" spans="1:27" ht="18.75">
      <c r="A828" s="121"/>
      <c r="B828" s="20" t="str">
        <f t="shared" si="12"/>
        <v>4320</v>
      </c>
      <c r="C828" s="21"/>
      <c r="D828" s="63" t="s">
        <v>3618</v>
      </c>
      <c r="E828" s="21">
        <v>48</v>
      </c>
      <c r="F828" s="46" t="s">
        <v>3619</v>
      </c>
      <c r="G828" s="27"/>
      <c r="H828" s="47"/>
      <c r="I828" s="47"/>
      <c r="J828" s="229"/>
      <c r="K828" s="28"/>
      <c r="L828" s="28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  <c r="AA828" s="46"/>
    </row>
    <row r="829" spans="1:27" ht="18.75">
      <c r="A829" s="121"/>
      <c r="B829" s="20" t="str">
        <f t="shared" si="12"/>
        <v>4320</v>
      </c>
      <c r="C829" s="21"/>
      <c r="D829" s="63" t="s">
        <v>3620</v>
      </c>
      <c r="E829" s="21">
        <v>48</v>
      </c>
      <c r="F829" s="46" t="s">
        <v>3621</v>
      </c>
      <c r="G829" s="27"/>
      <c r="H829" s="47"/>
      <c r="I829" s="47"/>
      <c r="J829" s="229"/>
      <c r="K829" s="28"/>
      <c r="L829" s="28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  <c r="AA829" s="46"/>
    </row>
    <row r="830" spans="1:27" ht="18.75">
      <c r="A830" s="121"/>
      <c r="B830" s="20" t="str">
        <f t="shared" si="12"/>
        <v>4320</v>
      </c>
      <c r="C830" s="21"/>
      <c r="D830" s="63" t="s">
        <v>3622</v>
      </c>
      <c r="E830" s="21">
        <v>48</v>
      </c>
      <c r="F830" s="46" t="s">
        <v>3623</v>
      </c>
      <c r="G830" s="27"/>
      <c r="H830" s="47"/>
      <c r="I830" s="47"/>
      <c r="J830" s="229"/>
      <c r="K830" s="28"/>
      <c r="L830" s="28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  <c r="AA830" s="46"/>
    </row>
    <row r="831" spans="1:27" ht="18.75">
      <c r="A831" s="121"/>
      <c r="B831" s="20" t="str">
        <f t="shared" si="12"/>
        <v>4/48</v>
      </c>
      <c r="C831" s="21"/>
      <c r="D831" s="63" t="s">
        <v>3625</v>
      </c>
      <c r="E831" s="21">
        <v>48</v>
      </c>
      <c r="F831" s="46" t="s">
        <v>3626</v>
      </c>
      <c r="G831" s="27"/>
      <c r="H831" s="47"/>
      <c r="I831" s="47"/>
      <c r="J831" s="229"/>
      <c r="K831" s="28"/>
      <c r="L831" s="28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  <c r="AA831" s="46"/>
    </row>
    <row r="832" spans="1:27" ht="18.75">
      <c r="A832" s="121"/>
      <c r="B832" s="20" t="str">
        <f t="shared" si="12"/>
        <v>4520</v>
      </c>
      <c r="C832" s="21"/>
      <c r="D832" s="63" t="s">
        <v>3629</v>
      </c>
      <c r="E832" s="21">
        <v>48</v>
      </c>
      <c r="F832" s="46" t="s">
        <v>3631</v>
      </c>
      <c r="G832" s="27"/>
      <c r="H832" s="47"/>
      <c r="I832" s="47"/>
      <c r="J832" s="229"/>
      <c r="K832" s="28"/>
      <c r="L832" s="28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  <c r="AA832" s="46"/>
    </row>
    <row r="833" spans="1:27" ht="18.75">
      <c r="A833" s="121"/>
      <c r="B833" s="20" t="str">
        <f t="shared" si="12"/>
        <v>5610</v>
      </c>
      <c r="C833" s="21"/>
      <c r="D833" s="63" t="s">
        <v>3634</v>
      </c>
      <c r="E833" s="21">
        <v>48</v>
      </c>
      <c r="F833" s="46" t="s">
        <v>3636</v>
      </c>
      <c r="G833" s="27"/>
      <c r="H833" s="47"/>
      <c r="I833" s="47"/>
      <c r="J833" s="229"/>
      <c r="K833" s="28"/>
      <c r="L833" s="28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  <c r="AA833" s="46"/>
    </row>
    <row r="834" spans="1:27" ht="18.75">
      <c r="A834" s="121"/>
      <c r="B834" s="20" t="str">
        <f t="shared" ref="B834:B897" si="13">LEFT(D834, SEARCH("",D834,4))</f>
        <v>5610</v>
      </c>
      <c r="C834" s="21"/>
      <c r="D834" s="63" t="s">
        <v>3637</v>
      </c>
      <c r="E834" s="21">
        <v>48</v>
      </c>
      <c r="F834" s="46" t="s">
        <v>2505</v>
      </c>
      <c r="G834" s="27"/>
      <c r="H834" s="47"/>
      <c r="I834" s="47"/>
      <c r="J834" s="229"/>
      <c r="K834" s="28"/>
      <c r="L834" s="28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</row>
    <row r="835" spans="1:27" ht="18.75">
      <c r="A835" s="121"/>
      <c r="B835" s="20" t="str">
        <f t="shared" si="13"/>
        <v>5610</v>
      </c>
      <c r="C835" s="21"/>
      <c r="D835" s="63" t="s">
        <v>3640</v>
      </c>
      <c r="E835" s="21">
        <v>48</v>
      </c>
      <c r="F835" s="46" t="s">
        <v>3641</v>
      </c>
      <c r="G835" s="27"/>
      <c r="H835" s="47"/>
      <c r="I835" s="47"/>
      <c r="J835" s="229"/>
      <c r="K835" s="28"/>
      <c r="L835" s="28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  <c r="AA835" s="46"/>
    </row>
    <row r="836" spans="1:27" ht="37.5">
      <c r="A836" s="121"/>
      <c r="B836" s="20" t="str">
        <f t="shared" si="13"/>
        <v>6110</v>
      </c>
      <c r="C836" s="21"/>
      <c r="D836" s="63" t="s">
        <v>3642</v>
      </c>
      <c r="E836" s="21">
        <v>48</v>
      </c>
      <c r="F836" s="46" t="s">
        <v>3643</v>
      </c>
      <c r="G836" s="27"/>
      <c r="H836" s="47"/>
      <c r="I836" s="47"/>
      <c r="J836" s="229"/>
      <c r="K836" s="28"/>
      <c r="L836" s="28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</row>
    <row r="837" spans="1:27" ht="18.75">
      <c r="A837" s="121"/>
      <c r="B837" s="20" t="str">
        <f t="shared" si="13"/>
        <v>6115</v>
      </c>
      <c r="C837" s="21"/>
      <c r="D837" s="63" t="s">
        <v>3644</v>
      </c>
      <c r="E837" s="21">
        <v>48</v>
      </c>
      <c r="F837" s="46" t="s">
        <v>3645</v>
      </c>
      <c r="G837" s="27"/>
      <c r="H837" s="47"/>
      <c r="I837" s="47"/>
      <c r="J837" s="229"/>
      <c r="K837" s="28"/>
      <c r="L837" s="28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</row>
    <row r="838" spans="1:27" ht="18.75">
      <c r="A838" s="121"/>
      <c r="B838" s="20" t="str">
        <f t="shared" si="13"/>
        <v>6680</v>
      </c>
      <c r="C838" s="21"/>
      <c r="D838" s="63" t="s">
        <v>3646</v>
      </c>
      <c r="E838" s="21">
        <v>48</v>
      </c>
      <c r="F838" s="46" t="s">
        <v>3647</v>
      </c>
      <c r="G838" s="27"/>
      <c r="H838" s="47"/>
      <c r="I838" s="47"/>
      <c r="J838" s="229"/>
      <c r="K838" s="28"/>
      <c r="L838" s="28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</row>
    <row r="839" spans="1:27" ht="18.75">
      <c r="A839" s="121"/>
      <c r="B839" s="20" t="str">
        <f t="shared" si="13"/>
        <v>2320</v>
      </c>
      <c r="C839" s="21"/>
      <c r="D839" s="63" t="s">
        <v>3648</v>
      </c>
      <c r="E839" s="21">
        <v>49</v>
      </c>
      <c r="F839" s="46" t="s">
        <v>3650</v>
      </c>
      <c r="G839" s="27"/>
      <c r="H839" s="47"/>
      <c r="I839" s="47"/>
      <c r="J839" s="229"/>
      <c r="K839" s="28"/>
      <c r="L839" s="28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</row>
    <row r="840" spans="1:27" ht="18.75">
      <c r="A840" s="121"/>
      <c r="B840" s="20" t="str">
        <f t="shared" si="13"/>
        <v>2420</v>
      </c>
      <c r="C840" s="21"/>
      <c r="D840" s="63" t="s">
        <v>3651</v>
      </c>
      <c r="E840" s="21">
        <v>49</v>
      </c>
      <c r="F840" s="46" t="s">
        <v>3652</v>
      </c>
      <c r="G840" s="27"/>
      <c r="H840" s="47"/>
      <c r="I840" s="47"/>
      <c r="J840" s="229"/>
      <c r="K840" s="28"/>
      <c r="L840" s="28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</row>
    <row r="841" spans="1:27" ht="18.75">
      <c r="A841" s="121"/>
      <c r="B841" s="20" t="str">
        <f t="shared" si="13"/>
        <v>2815</v>
      </c>
      <c r="C841" s="21"/>
      <c r="D841" s="63" t="s">
        <v>3654</v>
      </c>
      <c r="E841" s="21">
        <v>49</v>
      </c>
      <c r="F841" s="46" t="s">
        <v>3655</v>
      </c>
      <c r="G841" s="27"/>
      <c r="H841" s="47"/>
      <c r="I841" s="47"/>
      <c r="J841" s="229"/>
      <c r="K841" s="28"/>
      <c r="L841" s="28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  <c r="AA841" s="46"/>
    </row>
    <row r="842" spans="1:27" ht="18.75">
      <c r="A842" s="121"/>
      <c r="B842" s="20" t="str">
        <f t="shared" si="13"/>
        <v>3750</v>
      </c>
      <c r="C842" s="21"/>
      <c r="D842" s="63" t="s">
        <v>3656</v>
      </c>
      <c r="E842" s="21">
        <v>49</v>
      </c>
      <c r="F842" s="46" t="s">
        <v>3657</v>
      </c>
      <c r="G842" s="27"/>
      <c r="H842" s="47"/>
      <c r="I842" s="47"/>
      <c r="J842" s="229"/>
      <c r="K842" s="28"/>
      <c r="L842" s="28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</row>
    <row r="843" spans="1:27" ht="18.75">
      <c r="A843" s="121"/>
      <c r="B843" s="20" t="str">
        <f t="shared" si="13"/>
        <v>3930</v>
      </c>
      <c r="C843" s="21"/>
      <c r="D843" s="63" t="s">
        <v>3658</v>
      </c>
      <c r="E843" s="21">
        <v>49</v>
      </c>
      <c r="F843" s="46" t="s">
        <v>459</v>
      </c>
      <c r="G843" s="27"/>
      <c r="H843" s="47"/>
      <c r="I843" s="47"/>
      <c r="J843" s="229"/>
      <c r="K843" s="28"/>
      <c r="L843" s="28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</row>
    <row r="844" spans="1:27" ht="18.75">
      <c r="A844" s="121"/>
      <c r="B844" s="20" t="str">
        <f t="shared" si="13"/>
        <v>3930</v>
      </c>
      <c r="C844" s="21"/>
      <c r="D844" s="63" t="s">
        <v>3662</v>
      </c>
      <c r="E844" s="21">
        <v>49</v>
      </c>
      <c r="F844" s="46" t="s">
        <v>3663</v>
      </c>
      <c r="G844" s="27"/>
      <c r="H844" s="47"/>
      <c r="I844" s="47"/>
      <c r="J844" s="229"/>
      <c r="K844" s="28"/>
      <c r="L844" s="28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</row>
    <row r="845" spans="1:27" ht="18.75">
      <c r="A845" s="121"/>
      <c r="B845" s="20" t="str">
        <f t="shared" si="13"/>
        <v>3930</v>
      </c>
      <c r="C845" s="21"/>
      <c r="D845" s="63" t="s">
        <v>3664</v>
      </c>
      <c r="E845" s="21">
        <v>49</v>
      </c>
      <c r="F845" s="46" t="s">
        <v>3665</v>
      </c>
      <c r="G845" s="27"/>
      <c r="H845" s="47"/>
      <c r="I845" s="47"/>
      <c r="J845" s="229"/>
      <c r="K845" s="28"/>
      <c r="L845" s="28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  <c r="AA845" s="46"/>
    </row>
    <row r="846" spans="1:27" ht="18.75">
      <c r="A846" s="121"/>
      <c r="B846" s="20" t="str">
        <f t="shared" si="13"/>
        <v>3940</v>
      </c>
      <c r="C846" s="21"/>
      <c r="D846" s="63" t="s">
        <v>3666</v>
      </c>
      <c r="E846" s="21">
        <v>49</v>
      </c>
      <c r="F846" s="46" t="s">
        <v>3667</v>
      </c>
      <c r="G846" s="27"/>
      <c r="H846" s="47"/>
      <c r="I846" s="47"/>
      <c r="J846" s="229"/>
      <c r="K846" s="28"/>
      <c r="L846" s="28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</row>
    <row r="847" spans="1:27" ht="18.75">
      <c r="A847" s="121"/>
      <c r="B847" s="20" t="str">
        <f t="shared" si="13"/>
        <v>3960</v>
      </c>
      <c r="C847" s="21"/>
      <c r="D847" s="63" t="s">
        <v>3669</v>
      </c>
      <c r="E847" s="21">
        <v>49</v>
      </c>
      <c r="F847" s="46" t="s">
        <v>3670</v>
      </c>
      <c r="G847" s="27"/>
      <c r="H847" s="47"/>
      <c r="I847" s="47"/>
      <c r="J847" s="229"/>
      <c r="K847" s="28"/>
      <c r="L847" s="28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</row>
    <row r="848" spans="1:27" ht="37.5">
      <c r="A848" s="121"/>
      <c r="B848" s="20" t="str">
        <f t="shared" si="13"/>
        <v>4210</v>
      </c>
      <c r="C848" s="21"/>
      <c r="D848" s="63" t="s">
        <v>3615</v>
      </c>
      <c r="E848" s="21">
        <v>49</v>
      </c>
      <c r="F848" s="46" t="s">
        <v>3672</v>
      </c>
      <c r="G848" s="27"/>
      <c r="H848" s="47"/>
      <c r="I848" s="47"/>
      <c r="J848" s="229"/>
      <c r="K848" s="28"/>
      <c r="L848" s="28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</row>
    <row r="849" spans="1:27" ht="18.75">
      <c r="A849" s="121"/>
      <c r="B849" s="20" t="str">
        <f t="shared" si="13"/>
        <v>4210</v>
      </c>
      <c r="C849" s="21"/>
      <c r="D849" s="63" t="s">
        <v>3675</v>
      </c>
      <c r="E849" s="21">
        <v>49</v>
      </c>
      <c r="F849" s="46" t="s">
        <v>697</v>
      </c>
      <c r="G849" s="27"/>
      <c r="H849" s="47"/>
      <c r="I849" s="47"/>
      <c r="J849" s="229"/>
      <c r="K849" s="28"/>
      <c r="L849" s="28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</row>
    <row r="850" spans="1:27" ht="18.75">
      <c r="A850" s="121"/>
      <c r="B850" s="20" t="str">
        <f t="shared" si="13"/>
        <v>4310</v>
      </c>
      <c r="C850" s="21"/>
      <c r="D850" s="63" t="s">
        <v>3679</v>
      </c>
      <c r="E850" s="21">
        <v>49</v>
      </c>
      <c r="F850" s="46" t="s">
        <v>776</v>
      </c>
      <c r="G850" s="27"/>
      <c r="H850" s="47"/>
      <c r="I850" s="47"/>
      <c r="J850" s="229"/>
      <c r="K850" s="28"/>
      <c r="L850" s="28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</row>
    <row r="851" spans="1:27" ht="18.75">
      <c r="A851" s="121"/>
      <c r="B851" s="20" t="str">
        <f t="shared" si="13"/>
        <v>4310</v>
      </c>
      <c r="C851" s="21"/>
      <c r="D851" s="63" t="s">
        <v>3682</v>
      </c>
      <c r="E851" s="21">
        <v>49</v>
      </c>
      <c r="F851" s="46" t="s">
        <v>776</v>
      </c>
      <c r="G851" s="27"/>
      <c r="H851" s="47"/>
      <c r="I851" s="47"/>
      <c r="J851" s="229"/>
      <c r="K851" s="28"/>
      <c r="L851" s="28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  <c r="AA851" s="46"/>
    </row>
    <row r="852" spans="1:27" ht="18.75">
      <c r="A852" s="121"/>
      <c r="B852" s="20" t="str">
        <f t="shared" si="13"/>
        <v>4320</v>
      </c>
      <c r="C852" s="21"/>
      <c r="D852" s="63" t="s">
        <v>3684</v>
      </c>
      <c r="E852" s="21">
        <v>49</v>
      </c>
      <c r="F852" s="46" t="s">
        <v>3685</v>
      </c>
      <c r="G852" s="27"/>
      <c r="H852" s="47"/>
      <c r="I852" s="47"/>
      <c r="J852" s="229"/>
      <c r="K852" s="28"/>
      <c r="L852" s="28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  <c r="AA852" s="46"/>
    </row>
    <row r="853" spans="1:27" ht="18.75">
      <c r="A853" s="121"/>
      <c r="B853" s="20" t="str">
        <f t="shared" si="13"/>
        <v>4320</v>
      </c>
      <c r="C853" s="21"/>
      <c r="D853" s="63" t="s">
        <v>3687</v>
      </c>
      <c r="E853" s="21">
        <v>49</v>
      </c>
      <c r="F853" s="46" t="s">
        <v>3689</v>
      </c>
      <c r="G853" s="27"/>
      <c r="H853" s="47"/>
      <c r="I853" s="47"/>
      <c r="J853" s="229"/>
      <c r="K853" s="28"/>
      <c r="L853" s="28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  <c r="AA853" s="46"/>
    </row>
    <row r="854" spans="1:27" ht="18.75">
      <c r="A854" s="121"/>
      <c r="B854" s="20" t="str">
        <f t="shared" si="13"/>
        <v>4440</v>
      </c>
      <c r="C854" s="21"/>
      <c r="D854" s="63" t="s">
        <v>3692</v>
      </c>
      <c r="E854" s="21">
        <v>49</v>
      </c>
      <c r="F854" s="46" t="s">
        <v>3693</v>
      </c>
      <c r="G854" s="27"/>
      <c r="H854" s="47"/>
      <c r="I854" s="47"/>
      <c r="J854" s="229"/>
      <c r="K854" s="28"/>
      <c r="L854" s="28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  <c r="AA854" s="46"/>
    </row>
    <row r="855" spans="1:27" ht="18.75">
      <c r="A855" s="121"/>
      <c r="B855" s="20" t="str">
        <f t="shared" si="13"/>
        <v>4520</v>
      </c>
      <c r="C855" s="21"/>
      <c r="D855" s="63" t="s">
        <v>3699</v>
      </c>
      <c r="E855" s="21">
        <v>49</v>
      </c>
      <c r="F855" s="46" t="s">
        <v>3700</v>
      </c>
      <c r="G855" s="27"/>
      <c r="H855" s="47"/>
      <c r="I855" s="47"/>
      <c r="J855" s="229"/>
      <c r="K855" s="28"/>
      <c r="L855" s="28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</row>
    <row r="856" spans="1:27" ht="18.75">
      <c r="A856" s="121"/>
      <c r="B856" s="20" t="str">
        <f t="shared" si="13"/>
        <v>4520</v>
      </c>
      <c r="C856" s="21"/>
      <c r="D856" s="63" t="s">
        <v>3701</v>
      </c>
      <c r="E856" s="21">
        <v>49</v>
      </c>
      <c r="F856" s="46" t="s">
        <v>3702</v>
      </c>
      <c r="G856" s="27"/>
      <c r="H856" s="47"/>
      <c r="I856" s="47"/>
      <c r="J856" s="229"/>
      <c r="K856" s="28"/>
      <c r="L856" s="28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</row>
    <row r="857" spans="1:27" ht="18.75">
      <c r="A857" s="121"/>
      <c r="B857" s="20" t="str">
        <f t="shared" si="13"/>
        <v>5110</v>
      </c>
      <c r="C857" s="21"/>
      <c r="D857" s="63" t="s">
        <v>3703</v>
      </c>
      <c r="E857" s="21">
        <v>49</v>
      </c>
      <c r="F857" s="46" t="s">
        <v>3704</v>
      </c>
      <c r="G857" s="27"/>
      <c r="H857" s="47"/>
      <c r="I857" s="47"/>
      <c r="J857" s="229"/>
      <c r="K857" s="28"/>
      <c r="L857" s="28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  <c r="AA857" s="46"/>
    </row>
    <row r="858" spans="1:27" ht="18.75">
      <c r="A858" s="121"/>
      <c r="B858" s="20" t="str">
        <f t="shared" si="13"/>
        <v>5110</v>
      </c>
      <c r="C858" s="21"/>
      <c r="D858" s="63" t="s">
        <v>3705</v>
      </c>
      <c r="E858" s="21">
        <v>49</v>
      </c>
      <c r="F858" s="46" t="s">
        <v>3706</v>
      </c>
      <c r="G858" s="27"/>
      <c r="H858" s="47"/>
      <c r="I858" s="47"/>
      <c r="J858" s="229"/>
      <c r="K858" s="28"/>
      <c r="L858" s="28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  <c r="AA858" s="46"/>
    </row>
    <row r="859" spans="1:27" ht="18.75">
      <c r="A859" s="121"/>
      <c r="B859" s="20" t="str">
        <f t="shared" si="13"/>
        <v>5120</v>
      </c>
      <c r="C859" s="21"/>
      <c r="D859" s="63" t="s">
        <v>3707</v>
      </c>
      <c r="E859" s="21">
        <v>49</v>
      </c>
      <c r="F859" s="46" t="s">
        <v>3708</v>
      </c>
      <c r="G859" s="27"/>
      <c r="H859" s="47"/>
      <c r="I859" s="47"/>
      <c r="J859" s="229"/>
      <c r="K859" s="28"/>
      <c r="L859" s="28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  <c r="AA859" s="46"/>
    </row>
    <row r="860" spans="1:27" ht="18.75">
      <c r="A860" s="121"/>
      <c r="B860" s="20" t="str">
        <f t="shared" si="13"/>
        <v>5120</v>
      </c>
      <c r="C860" s="21"/>
      <c r="D860" s="63" t="s">
        <v>3710</v>
      </c>
      <c r="E860" s="21">
        <v>49</v>
      </c>
      <c r="F860" s="46" t="s">
        <v>3711</v>
      </c>
      <c r="G860" s="27"/>
      <c r="H860" s="47">
        <v>11000</v>
      </c>
      <c r="I860" s="47"/>
      <c r="J860" s="229"/>
      <c r="K860" s="28"/>
      <c r="L860" s="28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  <c r="AA860" s="46"/>
    </row>
    <row r="861" spans="1:27" ht="18.75">
      <c r="A861" s="121"/>
      <c r="B861" s="20" t="str">
        <f t="shared" si="13"/>
        <v>5130</v>
      </c>
      <c r="C861" s="21"/>
      <c r="D861" s="63" t="s">
        <v>3712</v>
      </c>
      <c r="E861" s="21">
        <v>49</v>
      </c>
      <c r="F861" s="46" t="s">
        <v>3713</v>
      </c>
      <c r="G861" s="27"/>
      <c r="H861" s="47"/>
      <c r="I861" s="47"/>
      <c r="J861" s="229"/>
      <c r="K861" s="28"/>
      <c r="L861" s="28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  <c r="AA861" s="46"/>
    </row>
    <row r="862" spans="1:27" ht="18.75">
      <c r="A862" s="121"/>
      <c r="B862" s="20" t="str">
        <f t="shared" si="13"/>
        <v>6110</v>
      </c>
      <c r="C862" s="21"/>
      <c r="D862" s="63" t="s">
        <v>3714</v>
      </c>
      <c r="E862" s="21">
        <v>49</v>
      </c>
      <c r="F862" s="46" t="s">
        <v>3715</v>
      </c>
      <c r="G862" s="27"/>
      <c r="H862" s="47"/>
      <c r="I862" s="47"/>
      <c r="J862" s="229"/>
      <c r="K862" s="28"/>
      <c r="L862" s="28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</row>
    <row r="863" spans="1:27" ht="18.75">
      <c r="A863" s="121"/>
      <c r="B863" s="20" t="str">
        <f t="shared" si="13"/>
        <v>6115</v>
      </c>
      <c r="C863" s="21"/>
      <c r="D863" s="63" t="s">
        <v>3716</v>
      </c>
      <c r="E863" s="21">
        <v>49</v>
      </c>
      <c r="F863" s="46" t="s">
        <v>3717</v>
      </c>
      <c r="G863" s="27"/>
      <c r="H863" s="47"/>
      <c r="I863" s="47"/>
      <c r="J863" s="229"/>
      <c r="K863" s="28"/>
      <c r="L863" s="28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  <c r="AA863" s="46"/>
    </row>
    <row r="864" spans="1:27" ht="18.75">
      <c r="A864" s="121"/>
      <c r="B864" s="20" t="str">
        <f t="shared" si="13"/>
        <v>6125</v>
      </c>
      <c r="C864" s="21"/>
      <c r="D864" s="63" t="s">
        <v>3718</v>
      </c>
      <c r="E864" s="21">
        <v>49</v>
      </c>
      <c r="F864" s="46" t="s">
        <v>3719</v>
      </c>
      <c r="G864" s="27"/>
      <c r="H864" s="47"/>
      <c r="I864" s="47"/>
      <c r="J864" s="229"/>
      <c r="K864" s="28"/>
      <c r="L864" s="28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  <c r="AA864" s="46"/>
    </row>
    <row r="865" spans="1:27" ht="18.75">
      <c r="A865" s="121"/>
      <c r="B865" s="20" t="str">
        <f t="shared" si="13"/>
        <v>6210</v>
      </c>
      <c r="C865" s="21"/>
      <c r="D865" s="63" t="s">
        <v>3720</v>
      </c>
      <c r="E865" s="21">
        <v>49</v>
      </c>
      <c r="F865" s="46" t="s">
        <v>3721</v>
      </c>
      <c r="G865" s="27"/>
      <c r="H865" s="47"/>
      <c r="I865" s="47"/>
      <c r="J865" s="229"/>
      <c r="K865" s="28"/>
      <c r="L865" s="28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  <c r="AA865" s="46"/>
    </row>
    <row r="866" spans="1:27" ht="18.75">
      <c r="A866" s="121"/>
      <c r="B866" s="20" t="str">
        <f t="shared" si="13"/>
        <v>6210</v>
      </c>
      <c r="C866" s="21"/>
      <c r="D866" s="63" t="s">
        <v>3722</v>
      </c>
      <c r="E866" s="21">
        <v>49</v>
      </c>
      <c r="F866" s="46" t="s">
        <v>3724</v>
      </c>
      <c r="G866" s="27"/>
      <c r="H866" s="47"/>
      <c r="I866" s="47"/>
      <c r="J866" s="229"/>
      <c r="K866" s="28"/>
      <c r="L866" s="28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  <c r="AA866" s="46"/>
    </row>
    <row r="867" spans="1:27" ht="18.75">
      <c r="A867" s="121"/>
      <c r="B867" s="20" t="str">
        <f t="shared" si="13"/>
        <v>2320</v>
      </c>
      <c r="C867" s="21"/>
      <c r="D867" s="63" t="s">
        <v>3725</v>
      </c>
      <c r="E867" s="21">
        <v>50</v>
      </c>
      <c r="F867" s="46" t="s">
        <v>120</v>
      </c>
      <c r="G867" s="27"/>
      <c r="H867" s="47"/>
      <c r="I867" s="47"/>
      <c r="J867" s="229"/>
      <c r="K867" s="28"/>
      <c r="L867" s="28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  <c r="AA867" s="46"/>
    </row>
    <row r="868" spans="1:27" ht="18.75">
      <c r="A868" s="121"/>
      <c r="B868" s="20" t="str">
        <f t="shared" si="13"/>
        <v>2320</v>
      </c>
      <c r="C868" s="21"/>
      <c r="D868" s="63" t="s">
        <v>3726</v>
      </c>
      <c r="E868" s="21">
        <v>50</v>
      </c>
      <c r="F868" s="46" t="s">
        <v>3195</v>
      </c>
      <c r="G868" s="27"/>
      <c r="H868" s="47"/>
      <c r="I868" s="47"/>
      <c r="J868" s="229"/>
      <c r="K868" s="28"/>
      <c r="L868" s="28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  <c r="AA868" s="46"/>
    </row>
    <row r="869" spans="1:27" ht="18.75">
      <c r="A869" s="121"/>
      <c r="B869" s="20" t="str">
        <f t="shared" si="13"/>
        <v>2320</v>
      </c>
      <c r="C869" s="21"/>
      <c r="D869" s="63" t="s">
        <v>3727</v>
      </c>
      <c r="E869" s="21">
        <v>50</v>
      </c>
      <c r="F869" s="46" t="s">
        <v>2364</v>
      </c>
      <c r="G869" s="27"/>
      <c r="H869" s="47"/>
      <c r="I869" s="47"/>
      <c r="J869" s="229"/>
      <c r="K869" s="28"/>
      <c r="L869" s="28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  <c r="AA869" s="46"/>
    </row>
    <row r="870" spans="1:27" ht="18.75">
      <c r="A870" s="121"/>
      <c r="B870" s="20" t="str">
        <f t="shared" si="13"/>
        <v>2420</v>
      </c>
      <c r="C870" s="21"/>
      <c r="D870" s="63" t="s">
        <v>3728</v>
      </c>
      <c r="E870" s="21">
        <v>50</v>
      </c>
      <c r="F870" s="46" t="s">
        <v>3729</v>
      </c>
      <c r="G870" s="27"/>
      <c r="H870" s="47"/>
      <c r="I870" s="47"/>
      <c r="J870" s="229"/>
      <c r="K870" s="28"/>
      <c r="L870" s="28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</row>
    <row r="871" spans="1:27" ht="18.75">
      <c r="A871" s="121"/>
      <c r="B871" s="20" t="str">
        <f t="shared" si="13"/>
        <v>3220</v>
      </c>
      <c r="C871" s="21"/>
      <c r="D871" s="63" t="s">
        <v>3730</v>
      </c>
      <c r="E871" s="21">
        <v>50</v>
      </c>
      <c r="F871" s="46" t="s">
        <v>3731</v>
      </c>
      <c r="G871" s="27"/>
      <c r="H871" s="47"/>
      <c r="I871" s="47"/>
      <c r="J871" s="229"/>
      <c r="K871" s="28"/>
      <c r="L871" s="28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  <c r="AA871" s="46"/>
    </row>
    <row r="872" spans="1:27" ht="18.75">
      <c r="A872" s="121"/>
      <c r="B872" s="20" t="str">
        <f t="shared" si="13"/>
        <v>3431</v>
      </c>
      <c r="C872" s="21"/>
      <c r="D872" s="63" t="s">
        <v>3732</v>
      </c>
      <c r="E872" s="21">
        <v>50</v>
      </c>
      <c r="F872" s="46" t="s">
        <v>3733</v>
      </c>
      <c r="G872" s="27"/>
      <c r="H872" s="47"/>
      <c r="I872" s="47"/>
      <c r="J872" s="229"/>
      <c r="K872" s="28"/>
      <c r="L872" s="28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</row>
    <row r="873" spans="1:27" ht="18.75">
      <c r="A873" s="121"/>
      <c r="B873" s="20" t="str">
        <f t="shared" si="13"/>
        <v>3431</v>
      </c>
      <c r="C873" s="21"/>
      <c r="D873" s="63" t="s">
        <v>3735</v>
      </c>
      <c r="E873" s="21">
        <v>50</v>
      </c>
      <c r="F873" s="46" t="s">
        <v>3736</v>
      </c>
      <c r="G873" s="27"/>
      <c r="H873" s="47"/>
      <c r="I873" s="47"/>
      <c r="J873" s="229"/>
      <c r="K873" s="28"/>
      <c r="L873" s="28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</row>
    <row r="874" spans="1:27" ht="18.75">
      <c r="A874" s="121"/>
      <c r="B874" s="20" t="str">
        <f t="shared" si="13"/>
        <v>3740</v>
      </c>
      <c r="C874" s="21"/>
      <c r="D874" s="63" t="s">
        <v>3739</v>
      </c>
      <c r="E874" s="21">
        <v>50</v>
      </c>
      <c r="F874" s="46" t="s">
        <v>3740</v>
      </c>
      <c r="G874" s="27"/>
      <c r="H874" s="47"/>
      <c r="I874" s="47"/>
      <c r="J874" s="229"/>
      <c r="K874" s="28"/>
      <c r="L874" s="28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  <c r="AA874" s="46"/>
    </row>
    <row r="875" spans="1:27" ht="18.75">
      <c r="A875" s="121"/>
      <c r="B875" s="20" t="str">
        <f t="shared" si="13"/>
        <v>3825</v>
      </c>
      <c r="C875" s="21"/>
      <c r="D875" s="63" t="s">
        <v>3742</v>
      </c>
      <c r="E875" s="21">
        <v>50</v>
      </c>
      <c r="F875" s="46" t="s">
        <v>3743</v>
      </c>
      <c r="G875" s="27"/>
      <c r="H875" s="47"/>
      <c r="I875" s="47"/>
      <c r="J875" s="229"/>
      <c r="K875" s="28"/>
      <c r="L875" s="28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</row>
    <row r="876" spans="1:27" ht="18.75">
      <c r="A876" s="121"/>
      <c r="B876" s="20" t="str">
        <f t="shared" si="13"/>
        <v>3930</v>
      </c>
      <c r="C876" s="21"/>
      <c r="D876" s="63" t="s">
        <v>3744</v>
      </c>
      <c r="E876" s="21">
        <v>50</v>
      </c>
      <c r="F876" s="46" t="s">
        <v>467</v>
      </c>
      <c r="G876" s="27"/>
      <c r="H876" s="47"/>
      <c r="I876" s="47"/>
      <c r="J876" s="229"/>
      <c r="K876" s="28"/>
      <c r="L876" s="28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  <c r="AA876" s="46"/>
    </row>
    <row r="877" spans="1:27" ht="18.75">
      <c r="A877" s="121"/>
      <c r="B877" s="20" t="str">
        <f t="shared" si="13"/>
        <v>3930</v>
      </c>
      <c r="C877" s="21"/>
      <c r="D877" s="63" t="s">
        <v>3745</v>
      </c>
      <c r="E877" s="21">
        <v>50</v>
      </c>
      <c r="F877" s="46" t="s">
        <v>479</v>
      </c>
      <c r="G877" s="27"/>
      <c r="H877" s="47"/>
      <c r="I877" s="47"/>
      <c r="J877" s="229"/>
      <c r="K877" s="28"/>
      <c r="L877" s="28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  <c r="AA877" s="46"/>
    </row>
    <row r="878" spans="1:27" ht="18.75">
      <c r="A878" s="121"/>
      <c r="B878" s="20" t="str">
        <f t="shared" si="13"/>
        <v>3930</v>
      </c>
      <c r="C878" s="21"/>
      <c r="D878" s="63" t="s">
        <v>3746</v>
      </c>
      <c r="E878" s="21">
        <v>50</v>
      </c>
      <c r="F878" s="46" t="s">
        <v>3747</v>
      </c>
      <c r="G878" s="27"/>
      <c r="H878" s="47"/>
      <c r="I878" s="47"/>
      <c r="J878" s="229"/>
      <c r="K878" s="28"/>
      <c r="L878" s="28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  <c r="AA878" s="46"/>
    </row>
    <row r="879" spans="1:27" ht="18.75">
      <c r="A879" s="121"/>
      <c r="B879" s="20" t="str">
        <f t="shared" si="13"/>
        <v>3930</v>
      </c>
      <c r="C879" s="21"/>
      <c r="D879" s="63" t="s">
        <v>3745</v>
      </c>
      <c r="E879" s="21">
        <v>50</v>
      </c>
      <c r="F879" s="46" t="s">
        <v>3749</v>
      </c>
      <c r="G879" s="27"/>
      <c r="H879" s="47"/>
      <c r="I879" s="47"/>
      <c r="J879" s="229"/>
      <c r="K879" s="28"/>
      <c r="L879" s="28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  <c r="AA879" s="46"/>
    </row>
    <row r="880" spans="1:27" ht="18.75">
      <c r="A880" s="121"/>
      <c r="B880" s="20" t="str">
        <f t="shared" si="13"/>
        <v>3930</v>
      </c>
      <c r="C880" s="21"/>
      <c r="D880" s="63" t="s">
        <v>3753</v>
      </c>
      <c r="E880" s="21">
        <v>50</v>
      </c>
      <c r="F880" s="46" t="s">
        <v>3754</v>
      </c>
      <c r="G880" s="27"/>
      <c r="H880" s="47"/>
      <c r="I880" s="47"/>
      <c r="J880" s="229"/>
      <c r="K880" s="28"/>
      <c r="L880" s="28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  <c r="AA880" s="46"/>
    </row>
    <row r="881" spans="1:27" ht="18.75">
      <c r="A881" s="121"/>
      <c r="B881" s="20" t="str">
        <f t="shared" si="13"/>
        <v>3960</v>
      </c>
      <c r="C881" s="21"/>
      <c r="D881" s="63" t="s">
        <v>3755</v>
      </c>
      <c r="E881" s="21">
        <v>50</v>
      </c>
      <c r="F881" s="46" t="s">
        <v>3756</v>
      </c>
      <c r="G881" s="27"/>
      <c r="H881" s="47"/>
      <c r="I881" s="47"/>
      <c r="J881" s="229"/>
      <c r="K881" s="28"/>
      <c r="L881" s="28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  <c r="AA881" s="46"/>
    </row>
    <row r="882" spans="1:27" ht="18.75">
      <c r="A882" s="121"/>
      <c r="B882" s="20" t="str">
        <f t="shared" si="13"/>
        <v>4120</v>
      </c>
      <c r="C882" s="21"/>
      <c r="D882" s="63" t="s">
        <v>3757</v>
      </c>
      <c r="E882" s="21">
        <v>50</v>
      </c>
      <c r="F882" s="46" t="s">
        <v>3758</v>
      </c>
      <c r="G882" s="27"/>
      <c r="H882" s="47"/>
      <c r="I882" s="47"/>
      <c r="J882" s="229"/>
      <c r="K882" s="28"/>
      <c r="L882" s="28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  <c r="AA882" s="46"/>
    </row>
    <row r="883" spans="1:27" ht="18.75">
      <c r="A883" s="121"/>
      <c r="B883" s="20" t="str">
        <f t="shared" si="13"/>
        <v>4310</v>
      </c>
      <c r="C883" s="21"/>
      <c r="D883" s="63" t="s">
        <v>3759</v>
      </c>
      <c r="E883" s="21">
        <v>50</v>
      </c>
      <c r="F883" s="46" t="s">
        <v>3760</v>
      </c>
      <c r="G883" s="27"/>
      <c r="H883" s="47"/>
      <c r="I883" s="47"/>
      <c r="J883" s="229"/>
      <c r="K883" s="28"/>
      <c r="L883" s="28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  <c r="AA883" s="46"/>
    </row>
    <row r="884" spans="1:27" ht="18.75">
      <c r="A884" s="121"/>
      <c r="B884" s="20" t="str">
        <f t="shared" si="13"/>
        <v>4630</v>
      </c>
      <c r="C884" s="21"/>
      <c r="D884" s="63" t="s">
        <v>3761</v>
      </c>
      <c r="E884" s="21">
        <v>50</v>
      </c>
      <c r="F884" s="46" t="s">
        <v>2681</v>
      </c>
      <c r="G884" s="27"/>
      <c r="H884" s="47"/>
      <c r="I884" s="47"/>
      <c r="J884" s="229"/>
      <c r="K884" s="28"/>
      <c r="L884" s="28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  <c r="AA884" s="46"/>
    </row>
    <row r="885" spans="1:27" ht="18.75">
      <c r="A885" s="121"/>
      <c r="B885" s="20" t="str">
        <f t="shared" si="13"/>
        <v>5120</v>
      </c>
      <c r="C885" s="21"/>
      <c r="D885" s="63" t="s">
        <v>3762</v>
      </c>
      <c r="E885" s="21">
        <v>50</v>
      </c>
      <c r="F885" s="46" t="s">
        <v>3763</v>
      </c>
      <c r="G885" s="27"/>
      <c r="H885" s="47"/>
      <c r="I885" s="47"/>
      <c r="J885" s="229"/>
      <c r="K885" s="28"/>
      <c r="L885" s="28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  <c r="AA885" s="46"/>
    </row>
    <row r="886" spans="1:27" ht="18.75">
      <c r="A886" s="121"/>
      <c r="B886" s="20" t="str">
        <f t="shared" si="13"/>
        <v>5120</v>
      </c>
      <c r="C886" s="21"/>
      <c r="D886" s="63" t="s">
        <v>3764</v>
      </c>
      <c r="E886" s="21">
        <v>50</v>
      </c>
      <c r="F886" s="46" t="s">
        <v>984</v>
      </c>
      <c r="G886" s="27"/>
      <c r="H886" s="47"/>
      <c r="I886" s="47"/>
      <c r="J886" s="229"/>
      <c r="K886" s="28"/>
      <c r="L886" s="28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  <c r="AA886" s="46"/>
    </row>
    <row r="887" spans="1:27" ht="18.75">
      <c r="A887" s="121"/>
      <c r="B887" s="20" t="str">
        <f t="shared" si="13"/>
        <v>5130</v>
      </c>
      <c r="C887" s="21"/>
      <c r="D887" s="63" t="s">
        <v>3765</v>
      </c>
      <c r="E887" s="21">
        <v>50</v>
      </c>
      <c r="F887" s="46" t="s">
        <v>3766</v>
      </c>
      <c r="G887" s="27"/>
      <c r="H887" s="47"/>
      <c r="I887" s="47"/>
      <c r="J887" s="229"/>
      <c r="K887" s="28"/>
      <c r="L887" s="28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  <c r="AA887" s="46"/>
    </row>
    <row r="888" spans="1:27" ht="18.75">
      <c r="A888" s="121"/>
      <c r="B888" s="20" t="str">
        <f t="shared" si="13"/>
        <v>5130</v>
      </c>
      <c r="C888" s="21"/>
      <c r="D888" s="63" t="s">
        <v>3765</v>
      </c>
      <c r="E888" s="21">
        <v>50</v>
      </c>
      <c r="F888" s="46" t="s">
        <v>3767</v>
      </c>
      <c r="G888" s="27"/>
      <c r="H888" s="47"/>
      <c r="I888" s="47"/>
      <c r="J888" s="229"/>
      <c r="K888" s="28"/>
      <c r="L888" s="28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  <c r="AA888" s="46"/>
    </row>
    <row r="889" spans="1:27" ht="37.5">
      <c r="A889" s="121"/>
      <c r="B889" s="20" t="str">
        <f t="shared" si="13"/>
        <v>6110</v>
      </c>
      <c r="C889" s="21"/>
      <c r="D889" s="63" t="s">
        <v>3768</v>
      </c>
      <c r="E889" s="21">
        <v>50</v>
      </c>
      <c r="F889" s="46" t="s">
        <v>3769</v>
      </c>
      <c r="G889" s="27"/>
      <c r="H889" s="47"/>
      <c r="I889" s="47"/>
      <c r="J889" s="229"/>
      <c r="K889" s="28"/>
      <c r="L889" s="28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  <c r="AA889" s="46"/>
    </row>
    <row r="890" spans="1:27" ht="18.75">
      <c r="A890" s="121"/>
      <c r="B890" s="20" t="str">
        <f t="shared" si="13"/>
        <v>6110</v>
      </c>
      <c r="C890" s="21"/>
      <c r="D890" s="63" t="s">
        <v>3768</v>
      </c>
      <c r="E890" s="21">
        <v>50</v>
      </c>
      <c r="F890" s="46" t="s">
        <v>3770</v>
      </c>
      <c r="G890" s="27"/>
      <c r="H890" s="47"/>
      <c r="I890" s="47"/>
      <c r="J890" s="229"/>
      <c r="K890" s="28"/>
      <c r="L890" s="28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  <c r="AA890" s="46"/>
    </row>
    <row r="891" spans="1:27" ht="18.75">
      <c r="A891" s="121"/>
      <c r="B891" s="20" t="str">
        <f t="shared" si="13"/>
        <v>6115</v>
      </c>
      <c r="C891" s="21"/>
      <c r="D891" s="63" t="s">
        <v>3772</v>
      </c>
      <c r="E891" s="21">
        <v>50</v>
      </c>
      <c r="F891" s="46" t="s">
        <v>1104</v>
      </c>
      <c r="G891" s="27"/>
      <c r="H891" s="47"/>
      <c r="I891" s="47"/>
      <c r="J891" s="229"/>
      <c r="K891" s="28"/>
      <c r="L891" s="28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  <c r="AA891" s="46"/>
    </row>
    <row r="892" spans="1:27" ht="18.75">
      <c r="A892" s="121"/>
      <c r="B892" s="20" t="str">
        <f t="shared" si="13"/>
        <v>6635</v>
      </c>
      <c r="C892" s="21"/>
      <c r="D892" s="63" t="s">
        <v>3780</v>
      </c>
      <c r="E892" s="21">
        <v>50</v>
      </c>
      <c r="F892" s="46" t="s">
        <v>3782</v>
      </c>
      <c r="G892" s="27"/>
      <c r="H892" s="47"/>
      <c r="I892" s="47"/>
      <c r="J892" s="229"/>
      <c r="K892" s="28"/>
      <c r="L892" s="28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  <c r="AA892" s="46"/>
    </row>
    <row r="893" spans="1:27" ht="18.75">
      <c r="A893" s="121"/>
      <c r="B893" s="20" t="str">
        <f t="shared" si="13"/>
        <v>6635</v>
      </c>
      <c r="C893" s="21"/>
      <c r="D893" s="63" t="s">
        <v>3789</v>
      </c>
      <c r="E893" s="21">
        <v>50</v>
      </c>
      <c r="F893" s="46" t="s">
        <v>3790</v>
      </c>
      <c r="G893" s="27"/>
      <c r="H893" s="47"/>
      <c r="I893" s="47"/>
      <c r="J893" s="229"/>
      <c r="K893" s="28"/>
      <c r="L893" s="28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  <c r="AA893" s="46"/>
    </row>
    <row r="894" spans="1:27" ht="18.75">
      <c r="A894" s="121"/>
      <c r="B894" s="20" t="str">
        <f t="shared" si="13"/>
        <v>6635</v>
      </c>
      <c r="C894" s="21"/>
      <c r="D894" s="63" t="s">
        <v>3789</v>
      </c>
      <c r="E894" s="21">
        <v>50</v>
      </c>
      <c r="F894" s="46" t="s">
        <v>3796</v>
      </c>
      <c r="G894" s="27"/>
      <c r="H894" s="47"/>
      <c r="I894" s="47"/>
      <c r="J894" s="229"/>
      <c r="K894" s="28"/>
      <c r="L894" s="28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  <c r="AA894" s="46"/>
    </row>
    <row r="895" spans="1:27" ht="18.75">
      <c r="A895" s="121"/>
      <c r="B895" s="20" t="str">
        <f t="shared" si="13"/>
        <v>6675</v>
      </c>
      <c r="C895" s="21"/>
      <c r="D895" s="63" t="s">
        <v>3801</v>
      </c>
      <c r="E895" s="21">
        <v>50</v>
      </c>
      <c r="F895" s="46" t="s">
        <v>1227</v>
      </c>
      <c r="G895" s="27"/>
      <c r="H895" s="47"/>
      <c r="I895" s="47"/>
      <c r="J895" s="229"/>
      <c r="K895" s="28"/>
      <c r="L895" s="28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  <c r="AA895" s="46"/>
    </row>
    <row r="896" spans="1:27" ht="18.75">
      <c r="A896" s="121"/>
      <c r="B896" s="20" t="str">
        <f t="shared" si="13"/>
        <v>6680</v>
      </c>
      <c r="C896" s="21"/>
      <c r="D896" s="63" t="s">
        <v>3802</v>
      </c>
      <c r="E896" s="21">
        <v>50</v>
      </c>
      <c r="F896" s="46" t="s">
        <v>3803</v>
      </c>
      <c r="G896" s="27"/>
      <c r="H896" s="47"/>
      <c r="I896" s="47"/>
      <c r="J896" s="229"/>
      <c r="K896" s="28"/>
      <c r="L896" s="28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  <c r="AA896" s="46"/>
    </row>
    <row r="897" spans="1:27" ht="37.5">
      <c r="A897" s="121"/>
      <c r="B897" s="20" t="str">
        <f t="shared" si="13"/>
        <v>6685</v>
      </c>
      <c r="C897" s="21"/>
      <c r="D897" s="63" t="s">
        <v>3805</v>
      </c>
      <c r="E897" s="21">
        <v>50</v>
      </c>
      <c r="F897" s="46" t="s">
        <v>3806</v>
      </c>
      <c r="G897" s="27"/>
      <c r="H897" s="47"/>
      <c r="I897" s="47"/>
      <c r="J897" s="229"/>
      <c r="K897" s="28"/>
      <c r="L897" s="28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  <c r="AA897" s="46"/>
    </row>
    <row r="898" spans="1:27" ht="18.75">
      <c r="A898" s="121"/>
      <c r="B898" s="20">
        <v>4210</v>
      </c>
      <c r="C898" s="21"/>
      <c r="D898" s="63" t="s">
        <v>3807</v>
      </c>
      <c r="E898" s="21">
        <v>51</v>
      </c>
      <c r="F898" s="46" t="s">
        <v>3808</v>
      </c>
      <c r="G898" s="27"/>
      <c r="H898" s="47"/>
      <c r="I898" s="47"/>
      <c r="J898" s="229"/>
      <c r="K898" s="28"/>
      <c r="L898" s="28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  <c r="AA898" s="46"/>
    </row>
    <row r="899" spans="1:27" ht="18.75">
      <c r="A899" s="121"/>
      <c r="B899" s="20">
        <v>4210</v>
      </c>
      <c r="C899" s="21"/>
      <c r="D899" s="63" t="s">
        <v>3810</v>
      </c>
      <c r="E899" s="21">
        <v>51</v>
      </c>
      <c r="F899" s="46" t="s">
        <v>3811</v>
      </c>
      <c r="G899" s="27"/>
      <c r="H899" s="47"/>
      <c r="I899" s="47"/>
      <c r="J899" s="229"/>
      <c r="K899" s="28"/>
      <c r="L899" s="28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  <c r="AA899" s="46"/>
    </row>
    <row r="900" spans="1:27" ht="18.75">
      <c r="A900" s="121"/>
      <c r="B900" s="20" t="str">
        <f t="shared" ref="B900:B952" si="14">LEFT(D900, SEARCH("",D900,4))</f>
        <v>2320</v>
      </c>
      <c r="C900" s="21"/>
      <c r="D900" s="63" t="s">
        <v>3816</v>
      </c>
      <c r="E900" s="21">
        <v>51</v>
      </c>
      <c r="F900" s="46" t="s">
        <v>41</v>
      </c>
      <c r="G900" s="27"/>
      <c r="H900" s="47"/>
      <c r="I900" s="47"/>
      <c r="J900" s="229"/>
      <c r="K900" s="28"/>
      <c r="L900" s="28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  <c r="AA900" s="46"/>
    </row>
    <row r="901" spans="1:27" ht="18.75">
      <c r="A901" s="121"/>
      <c r="B901" s="20" t="str">
        <f t="shared" si="14"/>
        <v>2320</v>
      </c>
      <c r="C901" s="21"/>
      <c r="D901" s="63" t="s">
        <v>3817</v>
      </c>
      <c r="E901" s="21">
        <v>51</v>
      </c>
      <c r="F901" s="46" t="s">
        <v>3818</v>
      </c>
      <c r="G901" s="27"/>
      <c r="H901" s="47"/>
      <c r="I901" s="47"/>
      <c r="J901" s="229" t="str">
        <f>HYPERLINK("https://drive.google.com/drive/folders/1-1PP6BgK1smwMZHeqYyIPq2AFOKapolT","2320")</f>
        <v>2320</v>
      </c>
      <c r="K901" s="28"/>
      <c r="L901" s="28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  <c r="AA901" s="46"/>
    </row>
    <row r="902" spans="1:27" ht="18.75">
      <c r="A902" s="121"/>
      <c r="B902" s="20" t="str">
        <f t="shared" si="14"/>
        <v>2320</v>
      </c>
      <c r="C902" s="21"/>
      <c r="D902" s="63" t="s">
        <v>3819</v>
      </c>
      <c r="E902" s="21">
        <v>51</v>
      </c>
      <c r="F902" s="46" t="s">
        <v>3120</v>
      </c>
      <c r="G902" s="27"/>
      <c r="H902" s="47"/>
      <c r="I902" s="47"/>
      <c r="J902" s="229"/>
      <c r="K902" s="28"/>
      <c r="L902" s="28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  <c r="AA902" s="46"/>
    </row>
    <row r="903" spans="1:27" ht="18.75">
      <c r="A903" s="121"/>
      <c r="B903" s="20" t="str">
        <f t="shared" si="14"/>
        <v>2320</v>
      </c>
      <c r="C903" s="21"/>
      <c r="D903" s="63" t="s">
        <v>3820</v>
      </c>
      <c r="E903" s="21">
        <v>51</v>
      </c>
      <c r="F903" s="46" t="s">
        <v>3821</v>
      </c>
      <c r="G903" s="27"/>
      <c r="H903" s="47"/>
      <c r="I903" s="47"/>
      <c r="J903" s="229"/>
      <c r="K903" s="28"/>
      <c r="L903" s="28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  <c r="AA903" s="46"/>
    </row>
    <row r="904" spans="1:27" ht="18.75">
      <c r="A904" s="121"/>
      <c r="B904" s="20" t="str">
        <f t="shared" si="14"/>
        <v>2420</v>
      </c>
      <c r="C904" s="21"/>
      <c r="D904" s="63" t="s">
        <v>3822</v>
      </c>
      <c r="E904" s="21">
        <v>51</v>
      </c>
      <c r="F904" s="46" t="s">
        <v>3823</v>
      </c>
      <c r="G904" s="27"/>
      <c r="H904" s="47"/>
      <c r="I904" s="47"/>
      <c r="J904" s="229"/>
      <c r="K904" s="28"/>
      <c r="L904" s="28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  <c r="AA904" s="46"/>
    </row>
    <row r="905" spans="1:27" ht="18.75">
      <c r="A905" s="121"/>
      <c r="B905" s="20" t="str">
        <f t="shared" si="14"/>
        <v>2590</v>
      </c>
      <c r="C905" s="21"/>
      <c r="D905" s="63" t="s">
        <v>3824</v>
      </c>
      <c r="E905" s="21">
        <v>51</v>
      </c>
      <c r="F905" s="46" t="s">
        <v>3825</v>
      </c>
      <c r="G905" s="27"/>
      <c r="H905" s="47"/>
      <c r="I905" s="47"/>
      <c r="J905" s="229"/>
      <c r="K905" s="28"/>
      <c r="L905" s="28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  <c r="AA905" s="46"/>
    </row>
    <row r="906" spans="1:27" ht="18.75">
      <c r="A906" s="121"/>
      <c r="B906" s="20" t="str">
        <f t="shared" si="14"/>
        <v>3431</v>
      </c>
      <c r="C906" s="21"/>
      <c r="D906" s="63" t="s">
        <v>3827</v>
      </c>
      <c r="E906" s="21">
        <v>51</v>
      </c>
      <c r="F906" s="46" t="s">
        <v>2561</v>
      </c>
      <c r="G906" s="27"/>
      <c r="H906" s="47"/>
      <c r="I906" s="47"/>
      <c r="J906" s="229"/>
      <c r="K906" s="28"/>
      <c r="L906" s="28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  <c r="AA906" s="46"/>
    </row>
    <row r="907" spans="1:27" ht="18.75">
      <c r="A907" s="121"/>
      <c r="B907" s="20" t="str">
        <f t="shared" si="14"/>
        <v>3431</v>
      </c>
      <c r="C907" s="21"/>
      <c r="D907" s="63" t="s">
        <v>3829</v>
      </c>
      <c r="E907" s="21">
        <v>51</v>
      </c>
      <c r="F907" s="46" t="s">
        <v>3830</v>
      </c>
      <c r="G907" s="27"/>
      <c r="H907" s="47"/>
      <c r="I907" s="47"/>
      <c r="J907" s="229"/>
      <c r="K907" s="28"/>
      <c r="L907" s="28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  <c r="AA907" s="46"/>
    </row>
    <row r="908" spans="1:27" ht="18.75">
      <c r="A908" s="121"/>
      <c r="B908" s="20" t="str">
        <f t="shared" si="14"/>
        <v>3431</v>
      </c>
      <c r="C908" s="21"/>
      <c r="D908" s="63" t="s">
        <v>3832</v>
      </c>
      <c r="E908" s="21">
        <v>51</v>
      </c>
      <c r="F908" s="46" t="s">
        <v>3833</v>
      </c>
      <c r="G908" s="27"/>
      <c r="H908" s="47"/>
      <c r="I908" s="47"/>
      <c r="J908" s="229"/>
      <c r="K908" s="28"/>
      <c r="L908" s="28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  <c r="AA908" s="46"/>
    </row>
    <row r="909" spans="1:27" ht="18.75">
      <c r="A909" s="121"/>
      <c r="B909" s="20" t="str">
        <f t="shared" si="14"/>
        <v>3805</v>
      </c>
      <c r="C909" s="21"/>
      <c r="D909" s="63" t="s">
        <v>3835</v>
      </c>
      <c r="E909" s="21">
        <v>51</v>
      </c>
      <c r="F909" s="46" t="s">
        <v>3836</v>
      </c>
      <c r="G909" s="27"/>
      <c r="H909" s="47"/>
      <c r="I909" s="47"/>
      <c r="J909" s="229"/>
      <c r="K909" s="28"/>
      <c r="L909" s="28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  <c r="AA909" s="46"/>
    </row>
    <row r="910" spans="1:27" ht="18.75">
      <c r="A910" s="121"/>
      <c r="B910" s="20" t="str">
        <f t="shared" si="14"/>
        <v>3820</v>
      </c>
      <c r="C910" s="21"/>
      <c r="D910" s="63" t="s">
        <v>3837</v>
      </c>
      <c r="E910" s="21">
        <v>51</v>
      </c>
      <c r="F910" s="46" t="s">
        <v>3839</v>
      </c>
      <c r="G910" s="27"/>
      <c r="H910" s="47"/>
      <c r="I910" s="47"/>
      <c r="J910" s="229"/>
      <c r="K910" s="28"/>
      <c r="L910" s="28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  <c r="AA910" s="46"/>
    </row>
    <row r="911" spans="1:27" ht="18.75">
      <c r="A911" s="121"/>
      <c r="B911" s="20" t="str">
        <f t="shared" si="14"/>
        <v>3825</v>
      </c>
      <c r="C911" s="21"/>
      <c r="D911" s="63" t="s">
        <v>3841</v>
      </c>
      <c r="E911" s="21">
        <v>51</v>
      </c>
      <c r="F911" s="46" t="s">
        <v>3842</v>
      </c>
      <c r="G911" s="27"/>
      <c r="H911" s="47"/>
      <c r="I911" s="47"/>
      <c r="J911" s="229"/>
      <c r="K911" s="28"/>
      <c r="L911" s="28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  <c r="AA911" s="46"/>
    </row>
    <row r="912" spans="1:27" ht="18.75">
      <c r="A912" s="121"/>
      <c r="B912" s="20" t="str">
        <f t="shared" si="14"/>
        <v>3930</v>
      </c>
      <c r="C912" s="21"/>
      <c r="D912" s="63" t="s">
        <v>3843</v>
      </c>
      <c r="E912" s="21">
        <v>51</v>
      </c>
      <c r="F912" s="46" t="s">
        <v>459</v>
      </c>
      <c r="G912" s="27"/>
      <c r="H912" s="47"/>
      <c r="I912" s="47"/>
      <c r="J912" s="229"/>
      <c r="K912" s="28"/>
      <c r="L912" s="28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  <c r="AA912" s="46"/>
    </row>
    <row r="913" spans="1:27" ht="18.75">
      <c r="A913" s="121"/>
      <c r="B913" s="20" t="str">
        <f t="shared" si="14"/>
        <v>3930</v>
      </c>
      <c r="C913" s="21"/>
      <c r="D913" s="63" t="s">
        <v>3844</v>
      </c>
      <c r="E913" s="21">
        <v>51</v>
      </c>
      <c r="F913" s="46" t="s">
        <v>3747</v>
      </c>
      <c r="G913" s="27"/>
      <c r="H913" s="47"/>
      <c r="I913" s="47"/>
      <c r="J913" s="229"/>
      <c r="K913" s="28"/>
      <c r="L913" s="28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  <c r="AA913" s="46"/>
    </row>
    <row r="914" spans="1:27" ht="18.75">
      <c r="A914" s="121"/>
      <c r="B914" s="20" t="str">
        <f t="shared" si="14"/>
        <v>3940</v>
      </c>
      <c r="C914" s="21"/>
      <c r="D914" s="63" t="s">
        <v>3845</v>
      </c>
      <c r="E914" s="21">
        <v>51</v>
      </c>
      <c r="F914" s="46" t="s">
        <v>2945</v>
      </c>
      <c r="G914" s="27"/>
      <c r="H914" s="47"/>
      <c r="I914" s="47"/>
      <c r="J914" s="229"/>
      <c r="K914" s="28"/>
      <c r="L914" s="28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  <c r="AA914" s="46"/>
    </row>
    <row r="915" spans="1:27" ht="18.75">
      <c r="A915" s="121"/>
      <c r="B915" s="20" t="str">
        <f t="shared" si="14"/>
        <v>3960</v>
      </c>
      <c r="C915" s="21"/>
      <c r="D915" s="63" t="s">
        <v>3846</v>
      </c>
      <c r="E915" s="21">
        <v>51</v>
      </c>
      <c r="F915" s="46" t="s">
        <v>3847</v>
      </c>
      <c r="G915" s="27"/>
      <c r="H915" s="47"/>
      <c r="I915" s="47"/>
      <c r="J915" s="229"/>
      <c r="K915" s="28"/>
      <c r="L915" s="28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  <c r="AA915" s="46"/>
    </row>
    <row r="916" spans="1:27" ht="37.5">
      <c r="A916" s="121"/>
      <c r="B916" s="20" t="str">
        <f t="shared" si="14"/>
        <v>4120</v>
      </c>
      <c r="C916" s="21"/>
      <c r="D916" s="63" t="s">
        <v>3848</v>
      </c>
      <c r="E916" s="21">
        <v>51</v>
      </c>
      <c r="F916" s="46" t="s">
        <v>3849</v>
      </c>
      <c r="G916" s="27"/>
      <c r="H916" s="47"/>
      <c r="I916" s="47"/>
      <c r="J916" s="229"/>
      <c r="K916" s="28"/>
      <c r="L916" s="28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  <c r="AA916" s="46"/>
    </row>
    <row r="917" spans="1:27" ht="18.75">
      <c r="A917" s="121"/>
      <c r="B917" s="20" t="str">
        <f t="shared" si="14"/>
        <v>4210</v>
      </c>
      <c r="C917" s="21"/>
      <c r="D917" s="63" t="s">
        <v>3850</v>
      </c>
      <c r="E917" s="21">
        <v>51</v>
      </c>
      <c r="F917" s="46" t="s">
        <v>3851</v>
      </c>
      <c r="G917" s="27"/>
      <c r="H917" s="47"/>
      <c r="I917" s="47"/>
      <c r="J917" s="229"/>
      <c r="K917" s="28"/>
      <c r="L917" s="28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  <c r="AA917" s="46"/>
    </row>
    <row r="918" spans="1:27" ht="18.75">
      <c r="A918" s="121"/>
      <c r="B918" s="20" t="str">
        <f t="shared" si="14"/>
        <v>4210</v>
      </c>
      <c r="C918" s="21"/>
      <c r="D918" s="63" t="s">
        <v>3852</v>
      </c>
      <c r="E918" s="21">
        <v>51</v>
      </c>
      <c r="F918" s="46" t="s">
        <v>697</v>
      </c>
      <c r="G918" s="27"/>
      <c r="H918" s="47"/>
      <c r="I918" s="47"/>
      <c r="J918" s="229"/>
      <c r="K918" s="28"/>
      <c r="L918" s="28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  <c r="AA918" s="46"/>
    </row>
    <row r="919" spans="1:27" ht="18.75">
      <c r="A919" s="121"/>
      <c r="B919" s="20" t="str">
        <f t="shared" si="14"/>
        <v>4210</v>
      </c>
      <c r="C919" s="21"/>
      <c r="D919" s="63" t="s">
        <v>3807</v>
      </c>
      <c r="E919" s="21">
        <v>51</v>
      </c>
      <c r="F919" s="46" t="s">
        <v>3853</v>
      </c>
      <c r="G919" s="27"/>
      <c r="H919" s="47"/>
      <c r="I919" s="47"/>
      <c r="J919" s="229"/>
      <c r="K919" s="28"/>
      <c r="L919" s="28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  <c r="AA919" s="46"/>
    </row>
    <row r="920" spans="1:27" ht="18.75">
      <c r="A920" s="121"/>
      <c r="B920" s="20" t="str">
        <f t="shared" si="14"/>
        <v>4210</v>
      </c>
      <c r="C920" s="21"/>
      <c r="D920" s="63" t="s">
        <v>3810</v>
      </c>
      <c r="E920" s="21">
        <v>51</v>
      </c>
      <c r="F920" s="46" t="s">
        <v>3854</v>
      </c>
      <c r="G920" s="27"/>
      <c r="H920" s="47"/>
      <c r="I920" s="47"/>
      <c r="J920" s="229"/>
      <c r="K920" s="28"/>
      <c r="L920" s="28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  <c r="AA920" s="46"/>
    </row>
    <row r="921" spans="1:27" ht="18.75">
      <c r="A921" s="121"/>
      <c r="B921" s="20" t="str">
        <f t="shared" si="14"/>
        <v>4310</v>
      </c>
      <c r="C921" s="21"/>
      <c r="D921" s="63" t="s">
        <v>3855</v>
      </c>
      <c r="E921" s="21">
        <v>51</v>
      </c>
      <c r="F921" s="46" t="s">
        <v>906</v>
      </c>
      <c r="G921" s="27"/>
      <c r="H921" s="47"/>
      <c r="I921" s="47"/>
      <c r="J921" s="229"/>
      <c r="K921" s="28"/>
      <c r="L921" s="28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  <c r="AA921" s="46"/>
    </row>
    <row r="922" spans="1:27" ht="18.75">
      <c r="A922" s="121"/>
      <c r="B922" s="20" t="str">
        <f t="shared" si="14"/>
        <v>4310</v>
      </c>
      <c r="C922" s="21"/>
      <c r="D922" s="63" t="s">
        <v>3856</v>
      </c>
      <c r="E922" s="21">
        <v>51</v>
      </c>
      <c r="F922" s="46" t="s">
        <v>3857</v>
      </c>
      <c r="G922" s="27"/>
      <c r="H922" s="47"/>
      <c r="I922" s="47"/>
      <c r="J922" s="229"/>
      <c r="K922" s="28"/>
      <c r="L922" s="28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  <c r="AA922" s="46"/>
    </row>
    <row r="923" spans="1:27" ht="18.75">
      <c r="A923" s="121"/>
      <c r="B923" s="20" t="str">
        <f t="shared" si="14"/>
        <v>4310</v>
      </c>
      <c r="C923" s="21"/>
      <c r="D923" s="63" t="s">
        <v>3858</v>
      </c>
      <c r="E923" s="21">
        <v>51</v>
      </c>
      <c r="F923" s="46" t="s">
        <v>3859</v>
      </c>
      <c r="G923" s="27"/>
      <c r="H923" s="47"/>
      <c r="I923" s="47"/>
      <c r="J923" s="229"/>
      <c r="K923" s="28"/>
      <c r="L923" s="28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  <c r="AA923" s="46"/>
    </row>
    <row r="924" spans="1:27" ht="18.75">
      <c r="A924" s="121"/>
      <c r="B924" s="20" t="str">
        <f t="shared" si="14"/>
        <v>4320</v>
      </c>
      <c r="C924" s="21"/>
      <c r="D924" s="63" t="s">
        <v>3860</v>
      </c>
      <c r="E924" s="21">
        <v>51</v>
      </c>
      <c r="F924" s="46" t="s">
        <v>3861</v>
      </c>
      <c r="G924" s="27"/>
      <c r="H924" s="47"/>
      <c r="I924" s="47"/>
      <c r="J924" s="229"/>
      <c r="K924" s="28"/>
      <c r="L924" s="28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  <c r="AA924" s="46"/>
    </row>
    <row r="925" spans="1:27" ht="18.75">
      <c r="A925" s="121"/>
      <c r="B925" s="20" t="str">
        <f t="shared" si="14"/>
        <v>4320</v>
      </c>
      <c r="C925" s="21"/>
      <c r="D925" s="63" t="s">
        <v>3862</v>
      </c>
      <c r="E925" s="21">
        <v>51</v>
      </c>
      <c r="F925" s="46" t="s">
        <v>3863</v>
      </c>
      <c r="G925" s="27"/>
      <c r="H925" s="47"/>
      <c r="I925" s="47"/>
      <c r="J925" s="229"/>
      <c r="K925" s="28"/>
      <c r="L925" s="28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  <c r="AA925" s="46"/>
    </row>
    <row r="926" spans="1:27" ht="18.75">
      <c r="A926" s="121"/>
      <c r="B926" s="20" t="str">
        <f t="shared" si="14"/>
        <v>4320</v>
      </c>
      <c r="C926" s="21"/>
      <c r="D926" s="63" t="s">
        <v>3864</v>
      </c>
      <c r="E926" s="21">
        <v>51</v>
      </c>
      <c r="F926" s="46" t="s">
        <v>3865</v>
      </c>
      <c r="G926" s="27"/>
      <c r="H926" s="47"/>
      <c r="I926" s="47"/>
      <c r="J926" s="229"/>
      <c r="K926" s="28"/>
      <c r="L926" s="28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  <c r="AA926" s="46"/>
    </row>
    <row r="927" spans="1:27" ht="37.5">
      <c r="A927" s="121"/>
      <c r="B927" s="20" t="str">
        <f t="shared" si="14"/>
        <v>4320</v>
      </c>
      <c r="C927" s="21"/>
      <c r="D927" s="63" t="s">
        <v>3866</v>
      </c>
      <c r="E927" s="21">
        <v>51</v>
      </c>
      <c r="F927" s="46" t="s">
        <v>3867</v>
      </c>
      <c r="G927" s="27"/>
      <c r="H927" s="47"/>
      <c r="I927" s="47"/>
      <c r="J927" s="229"/>
      <c r="K927" s="28"/>
      <c r="L927" s="28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  <c r="AA927" s="46"/>
    </row>
    <row r="928" spans="1:27" ht="37.5">
      <c r="A928" s="121"/>
      <c r="B928" s="20" t="str">
        <f t="shared" si="14"/>
        <v>4320</v>
      </c>
      <c r="C928" s="21"/>
      <c r="D928" s="63" t="s">
        <v>3868</v>
      </c>
      <c r="E928" s="21">
        <v>51</v>
      </c>
      <c r="F928" s="46" t="s">
        <v>3869</v>
      </c>
      <c r="G928" s="27"/>
      <c r="H928" s="47"/>
      <c r="I928" s="47"/>
      <c r="J928" s="229"/>
      <c r="K928" s="28"/>
      <c r="L928" s="28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  <c r="AA928" s="46"/>
    </row>
    <row r="929" spans="1:27" ht="37.5">
      <c r="A929" s="121"/>
      <c r="B929" s="20" t="str">
        <f t="shared" si="14"/>
        <v>4320</v>
      </c>
      <c r="C929" s="21"/>
      <c r="D929" s="63" t="s">
        <v>3870</v>
      </c>
      <c r="E929" s="21">
        <v>51</v>
      </c>
      <c r="F929" s="46" t="s">
        <v>3871</v>
      </c>
      <c r="G929" s="27"/>
      <c r="H929" s="47"/>
      <c r="I929" s="47"/>
      <c r="J929" s="229"/>
      <c r="K929" s="28"/>
      <c r="L929" s="28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  <c r="AA929" s="46"/>
    </row>
    <row r="930" spans="1:27" ht="18.75">
      <c r="A930" s="121"/>
      <c r="B930" s="20" t="str">
        <f t="shared" si="14"/>
        <v>4320</v>
      </c>
      <c r="C930" s="21"/>
      <c r="D930" s="63" t="s">
        <v>3872</v>
      </c>
      <c r="E930" s="21">
        <v>51</v>
      </c>
      <c r="F930" s="46" t="s">
        <v>3873</v>
      </c>
      <c r="G930" s="27"/>
      <c r="H930" s="47"/>
      <c r="I930" s="47"/>
      <c r="J930" s="229"/>
      <c r="K930" s="28"/>
      <c r="L930" s="28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  <c r="AA930" s="46"/>
    </row>
    <row r="931" spans="1:27" ht="18.75">
      <c r="A931" s="121"/>
      <c r="B931" s="20" t="str">
        <f t="shared" si="14"/>
        <v>4630</v>
      </c>
      <c r="C931" s="21"/>
      <c r="D931" s="63" t="s">
        <v>3874</v>
      </c>
      <c r="E931" s="21">
        <v>51</v>
      </c>
      <c r="F931" s="46" t="s">
        <v>3875</v>
      </c>
      <c r="G931" s="27"/>
      <c r="H931" s="47"/>
      <c r="I931" s="47"/>
      <c r="J931" s="229"/>
      <c r="K931" s="28"/>
      <c r="L931" s="28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  <c r="AA931" s="46"/>
    </row>
    <row r="932" spans="1:27" ht="18.75">
      <c r="A932" s="121"/>
      <c r="B932" s="20" t="str">
        <f t="shared" si="14"/>
        <v>4630</v>
      </c>
      <c r="C932" s="21"/>
      <c r="D932" s="63" t="s">
        <v>3874</v>
      </c>
      <c r="E932" s="21">
        <v>51</v>
      </c>
      <c r="F932" s="46" t="s">
        <v>988</v>
      </c>
      <c r="G932" s="27"/>
      <c r="H932" s="47"/>
      <c r="I932" s="47"/>
      <c r="J932" s="229"/>
      <c r="K932" s="28"/>
      <c r="L932" s="28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  <c r="AA932" s="46"/>
    </row>
    <row r="933" spans="1:27" ht="18.75">
      <c r="A933" s="121"/>
      <c r="B933" s="20" t="str">
        <f t="shared" si="14"/>
        <v>4630</v>
      </c>
      <c r="C933" s="21"/>
      <c r="D933" s="63" t="s">
        <v>3876</v>
      </c>
      <c r="E933" s="21">
        <v>51</v>
      </c>
      <c r="F933" s="46" t="s">
        <v>3877</v>
      </c>
      <c r="G933" s="27"/>
      <c r="H933" s="47"/>
      <c r="I933" s="47"/>
      <c r="J933" s="229"/>
      <c r="K933" s="28"/>
      <c r="L933" s="28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  <c r="AA933" s="46"/>
    </row>
    <row r="934" spans="1:27" ht="18.75">
      <c r="A934" s="121"/>
      <c r="B934" s="20" t="str">
        <f t="shared" si="14"/>
        <v>5130</v>
      </c>
      <c r="C934" s="21"/>
      <c r="D934" s="63" t="s">
        <v>3878</v>
      </c>
      <c r="E934" s="21">
        <v>51</v>
      </c>
      <c r="F934" s="46" t="s">
        <v>3879</v>
      </c>
      <c r="G934" s="27"/>
      <c r="H934" s="47"/>
      <c r="I934" s="47"/>
      <c r="J934" s="229"/>
      <c r="K934" s="28"/>
      <c r="L934" s="28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  <c r="AA934" s="46"/>
    </row>
    <row r="935" spans="1:27" ht="18.75">
      <c r="A935" s="121"/>
      <c r="B935" s="20" t="str">
        <f t="shared" si="14"/>
        <v>6110</v>
      </c>
      <c r="C935" s="21"/>
      <c r="D935" s="63" t="s">
        <v>3880</v>
      </c>
      <c r="E935" s="21">
        <v>51</v>
      </c>
      <c r="F935" s="46" t="s">
        <v>3881</v>
      </c>
      <c r="G935" s="27"/>
      <c r="H935" s="47"/>
      <c r="I935" s="47"/>
      <c r="J935" s="229"/>
      <c r="K935" s="28"/>
      <c r="L935" s="28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  <c r="AA935" s="46"/>
    </row>
    <row r="936" spans="1:27" ht="18.75">
      <c r="A936" s="121"/>
      <c r="B936" s="20" t="str">
        <f t="shared" si="14"/>
        <v>6110</v>
      </c>
      <c r="C936" s="21"/>
      <c r="D936" s="63" t="s">
        <v>3882</v>
      </c>
      <c r="E936" s="21">
        <v>51</v>
      </c>
      <c r="F936" s="46" t="s">
        <v>3883</v>
      </c>
      <c r="G936" s="27"/>
      <c r="H936" s="47"/>
      <c r="I936" s="47"/>
      <c r="J936" s="229"/>
      <c r="K936" s="28"/>
      <c r="L936" s="28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  <c r="AA936" s="46"/>
    </row>
    <row r="937" spans="1:27" ht="18.75">
      <c r="A937" s="121"/>
      <c r="B937" s="20" t="str">
        <f t="shared" si="14"/>
        <v>6110</v>
      </c>
      <c r="C937" s="21"/>
      <c r="D937" s="63" t="s">
        <v>3884</v>
      </c>
      <c r="E937" s="21">
        <v>51</v>
      </c>
      <c r="F937" s="46" t="s">
        <v>3885</v>
      </c>
      <c r="G937" s="27"/>
      <c r="H937" s="47"/>
      <c r="I937" s="47"/>
      <c r="J937" s="229"/>
      <c r="K937" s="28"/>
      <c r="L937" s="28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  <c r="AA937" s="46"/>
    </row>
    <row r="938" spans="1:27" ht="37.5">
      <c r="A938" s="121"/>
      <c r="B938" s="20" t="str">
        <f t="shared" si="14"/>
        <v>6115</v>
      </c>
      <c r="C938" s="21"/>
      <c r="D938" s="63" t="s">
        <v>3886</v>
      </c>
      <c r="E938" s="21">
        <v>51</v>
      </c>
      <c r="F938" s="46" t="s">
        <v>3887</v>
      </c>
      <c r="G938" s="27"/>
      <c r="H938" s="47"/>
      <c r="I938" s="47"/>
      <c r="J938" s="229"/>
      <c r="K938" s="28"/>
      <c r="L938" s="28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  <c r="AA938" s="46"/>
    </row>
    <row r="939" spans="1:27" ht="18.75">
      <c r="A939" s="121"/>
      <c r="B939" s="20" t="str">
        <f t="shared" si="14"/>
        <v>6130</v>
      </c>
      <c r="C939" s="21"/>
      <c r="D939" s="63" t="s">
        <v>3888</v>
      </c>
      <c r="E939" s="21">
        <v>51</v>
      </c>
      <c r="F939" s="46" t="s">
        <v>3889</v>
      </c>
      <c r="G939" s="27"/>
      <c r="H939" s="47"/>
      <c r="I939" s="47"/>
      <c r="J939" s="229"/>
      <c r="K939" s="28"/>
      <c r="L939" s="28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  <c r="AA939" s="46"/>
    </row>
    <row r="940" spans="1:27" ht="18.75">
      <c r="A940" s="121"/>
      <c r="B940" s="20" t="str">
        <f t="shared" si="14"/>
        <v>6150</v>
      </c>
      <c r="C940" s="21"/>
      <c r="D940" s="63" t="s">
        <v>3890</v>
      </c>
      <c r="E940" s="21">
        <v>51</v>
      </c>
      <c r="F940" s="46" t="s">
        <v>3891</v>
      </c>
      <c r="G940" s="27"/>
      <c r="H940" s="47"/>
      <c r="I940" s="47"/>
      <c r="J940" s="229"/>
      <c r="K940" s="28"/>
      <c r="L940" s="28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  <c r="AA940" s="46"/>
    </row>
    <row r="941" spans="1:27" ht="18.75">
      <c r="A941" s="121"/>
      <c r="B941" s="20" t="str">
        <f t="shared" si="14"/>
        <v>6310</v>
      </c>
      <c r="C941" s="21"/>
      <c r="D941" s="63" t="s">
        <v>3892</v>
      </c>
      <c r="E941" s="21">
        <v>51</v>
      </c>
      <c r="F941" s="46" t="s">
        <v>3893</v>
      </c>
      <c r="G941" s="27"/>
      <c r="H941" s="47"/>
      <c r="I941" s="47"/>
      <c r="J941" s="229"/>
      <c r="K941" s="28"/>
      <c r="L941" s="28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  <c r="AA941" s="46"/>
    </row>
    <row r="942" spans="1:27" ht="18.75">
      <c r="A942" s="121"/>
      <c r="B942" s="20" t="str">
        <f t="shared" si="14"/>
        <v>6310</v>
      </c>
      <c r="C942" s="21"/>
      <c r="D942" s="63" t="s">
        <v>3894</v>
      </c>
      <c r="E942" s="21">
        <v>51</v>
      </c>
      <c r="F942" s="46" t="s">
        <v>3895</v>
      </c>
      <c r="G942" s="27"/>
      <c r="H942" s="47"/>
      <c r="I942" s="47"/>
      <c r="J942" s="229"/>
      <c r="K942" s="28"/>
      <c r="L942" s="28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  <c r="AA942" s="46"/>
    </row>
    <row r="943" spans="1:27" ht="18.75">
      <c r="A943" s="121"/>
      <c r="B943" s="20" t="str">
        <f t="shared" si="14"/>
        <v>6630</v>
      </c>
      <c r="C943" s="21"/>
      <c r="D943" s="63" t="s">
        <v>3896</v>
      </c>
      <c r="E943" s="21">
        <v>51</v>
      </c>
      <c r="F943" s="46" t="s">
        <v>1407</v>
      </c>
      <c r="G943" s="27"/>
      <c r="H943" s="47"/>
      <c r="I943" s="47"/>
      <c r="J943" s="229"/>
      <c r="K943" s="28"/>
      <c r="L943" s="28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  <c r="AA943" s="46"/>
    </row>
    <row r="944" spans="1:27" ht="18.75">
      <c r="A944" s="121"/>
      <c r="B944" s="20" t="str">
        <f t="shared" si="14"/>
        <v>6630</v>
      </c>
      <c r="C944" s="21"/>
      <c r="D944" s="63" t="s">
        <v>3897</v>
      </c>
      <c r="E944" s="21">
        <v>51</v>
      </c>
      <c r="F944" s="46" t="s">
        <v>3898</v>
      </c>
      <c r="G944" s="27"/>
      <c r="H944" s="47"/>
      <c r="I944" s="47"/>
      <c r="J944" s="229"/>
      <c r="K944" s="28"/>
      <c r="L944" s="28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  <c r="AA944" s="46"/>
    </row>
    <row r="945" spans="1:27" ht="37.5">
      <c r="A945" s="121"/>
      <c r="B945" s="20" t="str">
        <f t="shared" si="14"/>
        <v>6630</v>
      </c>
      <c r="C945" s="21"/>
      <c r="D945" s="63" t="s">
        <v>3899</v>
      </c>
      <c r="E945" s="21">
        <v>51</v>
      </c>
      <c r="F945" s="46" t="s">
        <v>3900</v>
      </c>
      <c r="G945" s="27"/>
      <c r="H945" s="47"/>
      <c r="I945" s="47"/>
      <c r="J945" s="229"/>
      <c r="K945" s="28"/>
      <c r="L945" s="28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  <c r="AA945" s="46"/>
    </row>
    <row r="946" spans="1:27" ht="18.75">
      <c r="A946" s="121"/>
      <c r="B946" s="20" t="str">
        <f t="shared" si="14"/>
        <v>6635</v>
      </c>
      <c r="C946" s="21"/>
      <c r="D946" s="63" t="s">
        <v>3901</v>
      </c>
      <c r="E946" s="21">
        <v>51</v>
      </c>
      <c r="F946" s="46" t="s">
        <v>3902</v>
      </c>
      <c r="G946" s="27"/>
      <c r="H946" s="47"/>
      <c r="I946" s="47"/>
      <c r="J946" s="229"/>
      <c r="K946" s="28"/>
      <c r="L946" s="28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  <c r="AA946" s="46"/>
    </row>
    <row r="947" spans="1:27" ht="18.75">
      <c r="A947" s="121"/>
      <c r="B947" s="20" t="str">
        <f t="shared" si="14"/>
        <v>6635</v>
      </c>
      <c r="C947" s="21"/>
      <c r="D947" s="63" t="s">
        <v>3903</v>
      </c>
      <c r="E947" s="21">
        <v>51</v>
      </c>
      <c r="F947" s="46" t="s">
        <v>3904</v>
      </c>
      <c r="G947" s="27"/>
      <c r="H947" s="47"/>
      <c r="I947" s="47"/>
      <c r="J947" s="229"/>
      <c r="K947" s="28"/>
      <c r="L947" s="28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  <c r="AA947" s="46"/>
    </row>
    <row r="948" spans="1:27" ht="18.75">
      <c r="A948" s="121"/>
      <c r="B948" s="20" t="str">
        <f t="shared" si="14"/>
        <v>6635</v>
      </c>
      <c r="C948" s="21"/>
      <c r="D948" s="63" t="s">
        <v>3905</v>
      </c>
      <c r="E948" s="21">
        <v>51</v>
      </c>
      <c r="F948" s="46" t="s">
        <v>3906</v>
      </c>
      <c r="G948" s="27"/>
      <c r="H948" s="47"/>
      <c r="I948" s="47"/>
      <c r="J948" s="229"/>
      <c r="K948" s="28"/>
      <c r="L948" s="28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  <c r="AA948" s="46"/>
    </row>
    <row r="949" spans="1:27" ht="18.75">
      <c r="A949" s="121"/>
      <c r="B949" s="20" t="str">
        <f t="shared" si="14"/>
        <v>6635</v>
      </c>
      <c r="C949" s="21"/>
      <c r="D949" s="63" t="s">
        <v>3907</v>
      </c>
      <c r="E949" s="21">
        <v>51</v>
      </c>
      <c r="F949" s="46" t="s">
        <v>3908</v>
      </c>
      <c r="G949" s="27"/>
      <c r="H949" s="47"/>
      <c r="I949" s="47"/>
      <c r="J949" s="229"/>
      <c r="K949" s="28"/>
      <c r="L949" s="28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  <c r="AA949" s="46"/>
    </row>
    <row r="950" spans="1:27" ht="18.75">
      <c r="A950" s="121"/>
      <c r="B950" s="20" t="str">
        <f t="shared" si="14"/>
        <v>6635</v>
      </c>
      <c r="C950" s="21"/>
      <c r="D950" s="63" t="s">
        <v>3909</v>
      </c>
      <c r="E950" s="21">
        <v>51</v>
      </c>
      <c r="F950" s="46" t="s">
        <v>3910</v>
      </c>
      <c r="G950" s="27"/>
      <c r="H950" s="47"/>
      <c r="I950" s="47"/>
      <c r="J950" s="229"/>
      <c r="K950" s="28"/>
      <c r="L950" s="28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  <c r="AA950" s="46"/>
    </row>
    <row r="951" spans="1:27" ht="18.75">
      <c r="A951" s="121"/>
      <c r="B951" s="20" t="str">
        <f t="shared" si="14"/>
        <v>6680</v>
      </c>
      <c r="C951" s="21"/>
      <c r="D951" s="63" t="s">
        <v>3911</v>
      </c>
      <c r="E951" s="21">
        <v>51</v>
      </c>
      <c r="F951" s="46" t="s">
        <v>3647</v>
      </c>
      <c r="G951" s="27"/>
      <c r="H951" s="47"/>
      <c r="I951" s="47"/>
      <c r="J951" s="229"/>
      <c r="K951" s="28"/>
      <c r="L951" s="28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  <c r="AA951" s="46"/>
    </row>
    <row r="952" spans="1:27" ht="18.75">
      <c r="A952" s="121"/>
      <c r="B952" s="20" t="str">
        <f t="shared" si="14"/>
        <v>6685</v>
      </c>
      <c r="C952" s="21"/>
      <c r="D952" s="63" t="s">
        <v>3912</v>
      </c>
      <c r="E952" s="21">
        <v>51</v>
      </c>
      <c r="F952" s="46" t="s">
        <v>3913</v>
      </c>
      <c r="G952" s="27"/>
      <c r="H952" s="47"/>
      <c r="I952" s="47"/>
      <c r="J952" s="229"/>
      <c r="K952" s="28"/>
      <c r="L952" s="28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  <c r="AA952" s="46"/>
    </row>
    <row r="953" spans="1:27" ht="18.75">
      <c r="A953" s="121"/>
      <c r="B953" s="20"/>
      <c r="C953" s="21"/>
      <c r="D953" s="63"/>
      <c r="E953" s="21">
        <v>51</v>
      </c>
      <c r="F953" s="46" t="s">
        <v>3914</v>
      </c>
      <c r="G953" s="27"/>
      <c r="H953" s="47"/>
      <c r="I953" s="47"/>
      <c r="J953" s="229"/>
      <c r="K953" s="28"/>
      <c r="L953" s="28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  <c r="AA953" s="46"/>
    </row>
    <row r="954" spans="1:27" ht="18.75">
      <c r="A954" s="121"/>
      <c r="B954" s="20"/>
      <c r="C954" s="21"/>
      <c r="D954" s="63"/>
      <c r="E954" s="21">
        <v>51</v>
      </c>
      <c r="F954" s="46" t="s">
        <v>3916</v>
      </c>
      <c r="G954" s="27"/>
      <c r="H954" s="47"/>
      <c r="I954" s="47"/>
      <c r="J954" s="229"/>
      <c r="K954" s="28"/>
      <c r="L954" s="28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  <c r="AA954" s="46"/>
    </row>
    <row r="955" spans="1:27" ht="18.75">
      <c r="A955" s="121"/>
      <c r="B955" s="20"/>
      <c r="C955" s="21"/>
      <c r="D955" s="63"/>
      <c r="E955" s="21">
        <v>51</v>
      </c>
      <c r="F955" s="46" t="s">
        <v>3919</v>
      </c>
      <c r="G955" s="27"/>
      <c r="H955" s="47"/>
      <c r="I955" s="47"/>
      <c r="J955" s="229"/>
      <c r="K955" s="28"/>
      <c r="L955" s="28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  <c r="AA955" s="46"/>
    </row>
    <row r="956" spans="1:27" ht="37.5">
      <c r="A956" s="121"/>
      <c r="B956" s="20"/>
      <c r="C956" s="21"/>
      <c r="D956" s="63"/>
      <c r="E956" s="21">
        <v>51</v>
      </c>
      <c r="F956" s="46" t="s">
        <v>3921</v>
      </c>
      <c r="G956" s="27"/>
      <c r="H956" s="47"/>
      <c r="I956" s="47"/>
      <c r="J956" s="229"/>
      <c r="K956" s="28"/>
      <c r="L956" s="28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  <c r="AA956" s="46"/>
    </row>
    <row r="957" spans="1:27" ht="37.5">
      <c r="A957" s="121"/>
      <c r="B957" s="20"/>
      <c r="C957" s="21"/>
      <c r="D957" s="63"/>
      <c r="E957" s="21">
        <v>51</v>
      </c>
      <c r="F957" s="46" t="s">
        <v>3922</v>
      </c>
      <c r="G957" s="27"/>
      <c r="H957" s="47"/>
      <c r="I957" s="47"/>
      <c r="J957" s="229"/>
      <c r="K957" s="28"/>
      <c r="L957" s="28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  <c r="AA957" s="46"/>
    </row>
    <row r="958" spans="1:27" ht="18.75">
      <c r="A958" s="121"/>
      <c r="B958" s="20"/>
      <c r="C958" s="21"/>
      <c r="D958" s="63"/>
      <c r="E958" s="21">
        <v>51</v>
      </c>
      <c r="F958" s="46" t="s">
        <v>3923</v>
      </c>
      <c r="G958" s="27"/>
      <c r="H958" s="47"/>
      <c r="I958" s="47"/>
      <c r="J958" s="229"/>
      <c r="K958" s="28"/>
      <c r="L958" s="28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  <c r="AA958" s="46"/>
    </row>
    <row r="959" spans="1:27" ht="18.75">
      <c r="A959" s="121"/>
      <c r="B959" s="20"/>
      <c r="C959" s="21"/>
      <c r="D959" s="63"/>
      <c r="E959" s="21">
        <v>51</v>
      </c>
      <c r="F959" s="46" t="s">
        <v>3924</v>
      </c>
      <c r="G959" s="27"/>
      <c r="H959" s="47"/>
      <c r="I959" s="47"/>
      <c r="J959" s="229"/>
      <c r="K959" s="28"/>
      <c r="L959" s="28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  <c r="AA959" s="46"/>
    </row>
    <row r="960" spans="1:27" ht="18.75">
      <c r="A960" s="121"/>
      <c r="B960" s="20"/>
      <c r="C960" s="21"/>
      <c r="D960" s="63"/>
      <c r="E960" s="21">
        <v>51</v>
      </c>
      <c r="F960" s="46" t="s">
        <v>3925</v>
      </c>
      <c r="G960" s="27"/>
      <c r="H960" s="47"/>
      <c r="I960" s="47"/>
      <c r="J960" s="229"/>
      <c r="K960" s="28"/>
      <c r="L960" s="28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  <c r="AA960" s="46"/>
    </row>
    <row r="961" spans="1:27" ht="37.5">
      <c r="A961" s="121"/>
      <c r="B961" s="20"/>
      <c r="C961" s="21"/>
      <c r="D961" s="63"/>
      <c r="E961" s="21">
        <v>51</v>
      </c>
      <c r="F961" s="46" t="s">
        <v>3926</v>
      </c>
      <c r="G961" s="27"/>
      <c r="H961" s="47"/>
      <c r="I961" s="47"/>
      <c r="J961" s="229"/>
      <c r="K961" s="28"/>
      <c r="L961" s="28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  <c r="AA961" s="46"/>
    </row>
    <row r="962" spans="1:27" ht="18.75">
      <c r="A962" s="121"/>
      <c r="B962" s="20">
        <v>2420</v>
      </c>
      <c r="C962" s="21"/>
      <c r="D962" s="63" t="s">
        <v>3927</v>
      </c>
      <c r="E962" s="21">
        <v>52</v>
      </c>
      <c r="F962" s="46" t="s">
        <v>3928</v>
      </c>
      <c r="G962" s="27"/>
      <c r="H962" s="47"/>
      <c r="I962" s="47"/>
      <c r="J962" s="229"/>
      <c r="K962" s="28"/>
      <c r="L962" s="28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  <c r="AA962" s="46"/>
    </row>
    <row r="963" spans="1:27" ht="18.75">
      <c r="A963" s="121"/>
      <c r="B963" s="20">
        <v>3750</v>
      </c>
      <c r="C963" s="21"/>
      <c r="D963" s="63" t="s">
        <v>3929</v>
      </c>
      <c r="E963" s="21">
        <v>52</v>
      </c>
      <c r="F963" s="46" t="s">
        <v>3930</v>
      </c>
      <c r="G963" s="27"/>
      <c r="H963" s="47"/>
      <c r="I963" s="47"/>
      <c r="J963" s="229"/>
      <c r="K963" s="28"/>
      <c r="L963" s="28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  <c r="AA963" s="46"/>
    </row>
    <row r="964" spans="1:27" ht="18.75">
      <c r="A964" s="121"/>
      <c r="B964" s="20">
        <v>4210</v>
      </c>
      <c r="C964" s="21"/>
      <c r="D964" s="63" t="s">
        <v>3931</v>
      </c>
      <c r="E964" s="21">
        <v>52</v>
      </c>
      <c r="F964" s="46" t="s">
        <v>3932</v>
      </c>
      <c r="G964" s="27"/>
      <c r="H964" s="47"/>
      <c r="I964" s="47"/>
      <c r="J964" s="229"/>
      <c r="K964" s="28"/>
      <c r="L964" s="28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  <c r="AA964" s="46"/>
    </row>
    <row r="965" spans="1:27" ht="18.75">
      <c r="A965" s="121"/>
      <c r="B965" s="20">
        <v>4210</v>
      </c>
      <c r="C965" s="21"/>
      <c r="D965" s="63" t="s">
        <v>3933</v>
      </c>
      <c r="E965" s="21">
        <v>52</v>
      </c>
      <c r="F965" s="46" t="s">
        <v>695</v>
      </c>
      <c r="G965" s="27"/>
      <c r="H965" s="47"/>
      <c r="I965" s="47"/>
      <c r="J965" s="229"/>
      <c r="K965" s="28"/>
      <c r="L965" s="28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  <c r="AA965" s="46"/>
    </row>
    <row r="966" spans="1:27" ht="18.75">
      <c r="A966" s="121"/>
      <c r="B966" s="20">
        <v>4460</v>
      </c>
      <c r="C966" s="21"/>
      <c r="D966" s="63" t="s">
        <v>3934</v>
      </c>
      <c r="E966" s="21">
        <v>52</v>
      </c>
      <c r="F966" s="46" t="s">
        <v>3935</v>
      </c>
      <c r="G966" s="27"/>
      <c r="H966" s="47"/>
      <c r="I966" s="47"/>
      <c r="J966" s="229"/>
      <c r="K966" s="28"/>
      <c r="L966" s="28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  <c r="AA966" s="46"/>
    </row>
    <row r="967" spans="1:27" ht="18.75">
      <c r="A967" s="121"/>
      <c r="B967" s="20">
        <v>6635</v>
      </c>
      <c r="C967" s="21" t="s">
        <v>372</v>
      </c>
      <c r="D967" s="63" t="s">
        <v>816</v>
      </c>
      <c r="E967" s="21">
        <v>52</v>
      </c>
      <c r="F967" s="46" t="s">
        <v>817</v>
      </c>
      <c r="G967" s="27" t="s">
        <v>78</v>
      </c>
      <c r="H967" s="47">
        <v>1350000</v>
      </c>
      <c r="I967" s="47"/>
      <c r="J967" s="229" t="str">
        <f>HYPERLINK("https://drive.google.com/drive/folders/0BwQ57SNHxB3BUl9wMGxrZ3JFUzQ","6635")</f>
        <v>6635</v>
      </c>
      <c r="K967" s="28"/>
      <c r="L967" s="28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  <c r="AA967" s="46"/>
    </row>
    <row r="968" spans="1:27" ht="18.75">
      <c r="A968" s="121"/>
      <c r="B968" s="20">
        <v>6675</v>
      </c>
      <c r="C968" s="21"/>
      <c r="D968" s="63" t="s">
        <v>3936</v>
      </c>
      <c r="E968" s="21">
        <v>52</v>
      </c>
      <c r="F968" s="46" t="s">
        <v>3937</v>
      </c>
      <c r="G968" s="27"/>
      <c r="H968" s="47"/>
      <c r="I968" s="47"/>
      <c r="J968" s="229"/>
      <c r="K968" s="28"/>
      <c r="L968" s="28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  <c r="AA968" s="46"/>
    </row>
    <row r="969" spans="1:27" ht="18.75">
      <c r="A969" s="121"/>
      <c r="B969" s="20" t="str">
        <f t="shared" ref="B969:B980" si="15">LEFT(D969, SEARCH("",D969,4))</f>
        <v>4510</v>
      </c>
      <c r="C969" s="21" t="s">
        <v>683</v>
      </c>
      <c r="D969" s="63" t="s">
        <v>3938</v>
      </c>
      <c r="E969" s="21">
        <v>52</v>
      </c>
      <c r="F969" s="46" t="s">
        <v>3939</v>
      </c>
      <c r="G969" s="27"/>
      <c r="H969" s="47"/>
      <c r="I969" s="47"/>
      <c r="J969" s="229" t="str">
        <f>HYPERLINK("https://drive.google.com/drive/#folders/0B2rLR4BADrBtZ1dDSnBReWNzMVE/0B2rLR4BADrBtNVFpNDJjRFBhNTQ/0B2rLR4BADrBtSml6RWEzUWE0eVk/0B2rLR4BADrBtflVpVVZ2OXp5UHpicHJSV0xtV3p2aG9RR1B2SEh0RURGclB3bU56MjhDWXc","4510")</f>
        <v>4510</v>
      </c>
      <c r="K969" s="28"/>
      <c r="L969" s="28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  <c r="AA969" s="46"/>
    </row>
    <row r="970" spans="1:27" ht="18.75">
      <c r="A970" s="121"/>
      <c r="B970" s="20" t="str">
        <f t="shared" si="15"/>
        <v>4510</v>
      </c>
      <c r="C970" s="21" t="s">
        <v>683</v>
      </c>
      <c r="D970" s="63" t="s">
        <v>3940</v>
      </c>
      <c r="E970" s="21">
        <v>52</v>
      </c>
      <c r="F970" s="46" t="s">
        <v>3941</v>
      </c>
      <c r="G970" s="27"/>
      <c r="H970" s="47"/>
      <c r="I970" s="47"/>
      <c r="J970" s="229" t="str">
        <f>HYPERLINK("https://drive.google.com/drive/#folders/0B2rLR4BADrBtZ1dDSnBReWNzMVE/0B2rLR4BADrBtNVFpNDJjRFBhNTQ/0B2rLR4BADrBtSml6RWEzUWE0eVk/0B2rLR4BADrBtflVpVVZ2OXp5UHpicHJSV0xtV3p2aG9RR1B2SEh0RURGclB3bU56MjhDWXc","4510")</f>
        <v>4510</v>
      </c>
      <c r="K970" s="28"/>
      <c r="L970" s="28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  <c r="AA970" s="46"/>
    </row>
    <row r="971" spans="1:27" ht="37.5">
      <c r="A971" s="121"/>
      <c r="B971" s="20" t="str">
        <f t="shared" si="15"/>
        <v>5610</v>
      </c>
      <c r="C971" s="21" t="s">
        <v>191</v>
      </c>
      <c r="D971" s="63" t="s">
        <v>3942</v>
      </c>
      <c r="E971" s="21">
        <v>52</v>
      </c>
      <c r="F971" s="46" t="s">
        <v>3943</v>
      </c>
      <c r="G971" s="27"/>
      <c r="H971" s="47"/>
      <c r="I971" s="47"/>
      <c r="J971" s="229" t="str">
        <f>HYPERLINK("https://drive.google.com/drive/#folders/0B2rLR4BADrBtZ1dDSnBReWNzMVE/0B2rLR4BADrBtNVFpNDJjRFBhNTQ/0B2rLR4BADrBtSml6RWEzUWE0eVk/0B2rLR4BADrBtfnZ3Ulc2WS1SVDB5VlFkd1U5cHpCTXp2UDNZNmliY0dzNjZkRFB5UnEwTDQ","5610")</f>
        <v>5610</v>
      </c>
      <c r="K971" s="28"/>
      <c r="L971" s="28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  <c r="AA971" s="46"/>
    </row>
    <row r="972" spans="1:27" ht="37.5">
      <c r="A972" s="121"/>
      <c r="B972" s="20" t="str">
        <f t="shared" si="15"/>
        <v>5610</v>
      </c>
      <c r="C972" s="21" t="s">
        <v>191</v>
      </c>
      <c r="D972" s="63" t="s">
        <v>3944</v>
      </c>
      <c r="E972" s="21">
        <v>52</v>
      </c>
      <c r="F972" s="46" t="s">
        <v>3945</v>
      </c>
      <c r="G972" s="27"/>
      <c r="H972" s="47"/>
      <c r="I972" s="47"/>
      <c r="J972" s="229" t="str">
        <f>HYPERLINK("https://drive.google.com/drive/#folders/0B2rLR4BADrBtZ1dDSnBReWNzMVE/0B2rLR4BADrBtNVFpNDJjRFBhNTQ/0B2rLR4BADrBtSml6RWEzUWE0eVk/0B2rLR4BADrBtfnZ3Ulc2WS1SVDB5VlFkd1U5cHpCTXp2UDNZNmliY0dzNjZkRFB5UnEwTDQ","5610")</f>
        <v>5610</v>
      </c>
      <c r="K972" s="28"/>
      <c r="L972" s="28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  <c r="AA972" s="46"/>
    </row>
    <row r="973" spans="1:27" ht="37.5">
      <c r="A973" s="121"/>
      <c r="B973" s="20" t="str">
        <f t="shared" si="15"/>
        <v>5610</v>
      </c>
      <c r="C973" s="21" t="s">
        <v>191</v>
      </c>
      <c r="D973" s="63" t="s">
        <v>3946</v>
      </c>
      <c r="E973" s="21">
        <v>52</v>
      </c>
      <c r="F973" s="46" t="s">
        <v>3947</v>
      </c>
      <c r="G973" s="27"/>
      <c r="H973" s="47"/>
      <c r="I973" s="47"/>
      <c r="J973" s="229" t="str">
        <f>HYPERLINK("https://drive.google.com/drive/#folders/0B2rLR4BADrBtZ1dDSnBReWNzMVE/0B2rLR4BADrBtNVFpNDJjRFBhNTQ/0B2rLR4BADrBtSml6RWEzUWE0eVk/0B2rLR4BADrBtfnZ3Ulc2WS1SVDB5VlFkd1U5cHpCTXp2UDNZNmliY0dzNjZkRFB5UnEwTDQ","5610")</f>
        <v>5610</v>
      </c>
      <c r="K973" s="28"/>
      <c r="L973" s="28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  <c r="AA973" s="46"/>
    </row>
    <row r="974" spans="1:27" ht="37.5">
      <c r="A974" s="121"/>
      <c r="B974" s="20" t="str">
        <f t="shared" si="15"/>
        <v>6110</v>
      </c>
      <c r="C974" s="21" t="s">
        <v>37</v>
      </c>
      <c r="D974" s="63" t="s">
        <v>3948</v>
      </c>
      <c r="E974" s="21">
        <v>52</v>
      </c>
      <c r="F974" s="46" t="s">
        <v>3949</v>
      </c>
      <c r="G974" s="27"/>
      <c r="H974" s="47"/>
      <c r="I974" s="47"/>
      <c r="J974" s="229" t="str">
        <f>HYPERLINK("https://drive.google.com/drive/#folders/0B2rLR4BADrBtZ1dDSnBReWNzMVE/0B2rLR4BADrBtNVFpNDJjRFBhNTQ/0B2rLR4BADrBtSml6RWEzUWE0eVk/0B2rLR4BADrBtfkJCbktQYXJUS1czR21oNVpQMktscElMWFJBVzc4WUVsQU1qRHU2TWNGQnc","6110")</f>
        <v>6110</v>
      </c>
      <c r="K974" s="28"/>
      <c r="L974" s="28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  <c r="AA974" s="46"/>
    </row>
    <row r="975" spans="1:27" ht="37.5">
      <c r="A975" s="121"/>
      <c r="B975" s="20" t="str">
        <f t="shared" si="15"/>
        <v>6115</v>
      </c>
      <c r="C975" s="21" t="s">
        <v>37</v>
      </c>
      <c r="D975" s="63" t="s">
        <v>3950</v>
      </c>
      <c r="E975" s="21">
        <v>52</v>
      </c>
      <c r="F975" s="46" t="s">
        <v>3951</v>
      </c>
      <c r="G975" s="27"/>
      <c r="H975" s="47"/>
      <c r="I975" s="47"/>
      <c r="J975" s="229" t="str">
        <f>HYPERLINK("https://drive.google.com/drive/#folders/0B2rLR4BADrBtZ1dDSnBReWNzMVE/0B2rLR4BADrBtNVFpNDJjRFBhNTQ/0B2rLR4BADrBtSml6RWEzUWE0eVk/0B2rLR4BADrBtfl82QkVYeTAwOW1rNDI4ejNCaFEyTXA4TmkzT0s2ZXpQZC1LNkNldV9JU1U","6115")</f>
        <v>6115</v>
      </c>
      <c r="K975" s="28"/>
      <c r="L975" s="28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  <c r="AA975" s="46"/>
    </row>
    <row r="976" spans="1:27" ht="37.5">
      <c r="A976" s="121"/>
      <c r="B976" s="20" t="str">
        <f t="shared" si="15"/>
        <v>6635</v>
      </c>
      <c r="C976" s="21" t="s">
        <v>372</v>
      </c>
      <c r="D976" s="63" t="s">
        <v>3952</v>
      </c>
      <c r="E976" s="21">
        <v>52</v>
      </c>
      <c r="F976" s="46" t="s">
        <v>3953</v>
      </c>
      <c r="G976" s="27"/>
      <c r="H976" s="47"/>
      <c r="I976" s="47"/>
      <c r="J976" s="229" t="str">
        <f>HYPERLINK("https://drive.google.com/drive/#folders/0B2rLR4BADrBtZ1dDSnBReWNzMVE/0B2rLR4BADrBtNVFpNDJjRFBhNTQ/0B2rLR4BADrBtSml6RWEzUWE0eVk/0B2rLR4BADrBtfmZrUUJ6cjVrdUZTSVpGdkoxOW5sU0hNZ2EyMFBJcmhHV2FXbjR6dTRRYkU","6635")</f>
        <v>6635</v>
      </c>
      <c r="K976" s="28"/>
      <c r="L976" s="28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  <c r="AA976" s="46"/>
    </row>
    <row r="977" spans="1:27" ht="18.75">
      <c r="A977" s="121"/>
      <c r="B977" s="20" t="str">
        <f t="shared" si="15"/>
        <v>6675</v>
      </c>
      <c r="C977" s="21" t="s">
        <v>191</v>
      </c>
      <c r="D977" s="63" t="s">
        <v>3954</v>
      </c>
      <c r="E977" s="21">
        <v>52</v>
      </c>
      <c r="F977" s="46" t="s">
        <v>3955</v>
      </c>
      <c r="G977" s="27"/>
      <c r="H977" s="47"/>
      <c r="I977" s="47"/>
      <c r="J977" s="229" t="e">
        <f>HYPERLINK("https://drive.google.com/drive/#folders/0B2rLR4BADrBtZ1dDSnBReWNzMVE/0B2rLR4BADrBtNVFpNDJjRFBhNTQ/0B2rLR4BADrBtSml6RWEzUWE0eVk/0B2rLR4BADrBtfk9iLW1qV2IzMDdYU2VtSjJCVy1wR0NzQzVsejJBRk1DRUpmSkkxNTRQR1U/0B2rLR4BADrBtfjhhc08zaTViaDJmZ1htZHFWaF9ud1lSenJiMGJnb0"&amp;"lTWTdUZ2JnUE1kODg","6675")</f>
        <v>#VALUE!</v>
      </c>
      <c r="K977" s="28"/>
      <c r="L977" s="28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  <c r="AA977" s="46"/>
    </row>
    <row r="978" spans="1:27" ht="18.75">
      <c r="A978" s="121"/>
      <c r="B978" s="20" t="str">
        <f t="shared" si="15"/>
        <v>6810</v>
      </c>
      <c r="C978" s="21" t="s">
        <v>683</v>
      </c>
      <c r="D978" s="63" t="s">
        <v>3956</v>
      </c>
      <c r="E978" s="21">
        <v>52</v>
      </c>
      <c r="F978" s="46" t="s">
        <v>3957</v>
      </c>
      <c r="G978" s="27"/>
      <c r="H978" s="47">
        <v>6500</v>
      </c>
      <c r="I978" s="47"/>
      <c r="J978" s="229" t="str">
        <f>HYPERLINK("https://drive.google.com/drive/#folders/0B2rLR4BADrBtZ1dDSnBReWNzMVE/0B2rLR4BADrBtNVFpNDJjRFBhNTQ/0B2rLR4BADrBtSml6RWEzUWE0eVk/0B2rLR4BADrBtfldqdldETENRQWJwTE9uODZTTTZsMGpfeVBHbVVkX2VGVnBMYjB0V1lOSXc","6810")</f>
        <v>6810</v>
      </c>
      <c r="K978" s="28"/>
      <c r="L978" s="28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  <c r="AA978" s="46"/>
    </row>
    <row r="979" spans="1:27" ht="18.75">
      <c r="A979" s="121"/>
      <c r="B979" s="20" t="str">
        <f t="shared" si="15"/>
        <v>8415</v>
      </c>
      <c r="C979" s="21" t="s">
        <v>683</v>
      </c>
      <c r="D979" s="63" t="s">
        <v>3958</v>
      </c>
      <c r="E979" s="21">
        <v>52</v>
      </c>
      <c r="F979" s="46" t="s">
        <v>3959</v>
      </c>
      <c r="G979" s="27"/>
      <c r="H979" s="47">
        <v>150000</v>
      </c>
      <c r="I979" s="47"/>
      <c r="J979" s="229" t="str">
        <f>HYPERLINK("https://drive.google.com/drive/#folders/0B2rLR4BADrBtZ1dDSnBReWNzMVE/0B2rLR4BADrBtNVFpNDJjRFBhNTQ/0B2rLR4BADrBtSml6RWEzUWE0eVk/0B2rLR4BADrBtfnZwbHdIU0gtQzItQThJTlpPeUNuLXptYVd5OTcwVDI0X0pCLWhYSnVhdDQ","8415")</f>
        <v>8415</v>
      </c>
      <c r="K979" s="28"/>
      <c r="L979" s="28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  <c r="AA979" s="46"/>
    </row>
    <row r="980" spans="1:27" ht="18.75">
      <c r="A980" s="121"/>
      <c r="B980" s="20" t="str">
        <f t="shared" si="15"/>
        <v>8415</v>
      </c>
      <c r="C980" s="21" t="s">
        <v>683</v>
      </c>
      <c r="D980" s="63" t="s">
        <v>3960</v>
      </c>
      <c r="E980" s="21">
        <v>52</v>
      </c>
      <c r="F980" s="46" t="s">
        <v>3961</v>
      </c>
      <c r="G980" s="27"/>
      <c r="H980" s="47">
        <v>120000</v>
      </c>
      <c r="I980" s="47"/>
      <c r="J980" s="229" t="str">
        <f>HYPERLINK("https://drive.google.com/drive/#folders/0B2rLR4BADrBtZ1dDSnBReWNzMVE/0B2rLR4BADrBtNVFpNDJjRFBhNTQ/0B2rLR4BADrBtSml6RWEzUWE0eVk/0B2rLR4BADrBtfnZwbHdIU0gtQzItQThJTlpPeUNuLXptYVd5OTcwVDI0X0pCLWhYSnVhdDQ","8415")</f>
        <v>8415</v>
      </c>
      <c r="K980" s="28"/>
      <c r="L980" s="28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  <c r="AA980" s="46"/>
    </row>
    <row r="981" spans="1:27" ht="37.5">
      <c r="A981" s="17"/>
      <c r="B981" s="20">
        <v>2320</v>
      </c>
      <c r="C981" s="21" t="s">
        <v>63</v>
      </c>
      <c r="D981" s="66" t="s">
        <v>834</v>
      </c>
      <c r="E981" s="21">
        <v>52</v>
      </c>
      <c r="F981" s="46" t="s">
        <v>835</v>
      </c>
      <c r="G981" s="26" t="s">
        <v>28</v>
      </c>
      <c r="H981" s="27">
        <v>11350000</v>
      </c>
      <c r="I981" s="28"/>
      <c r="J981" s="229" t="str">
        <f>HYPERLINK("https://drive.google.com/drive/folders/0BwQ57SNHxB3BTmx1YzFRcnNoTzA","2320")</f>
        <v>2320</v>
      </c>
      <c r="K981" s="49"/>
      <c r="L981" s="51"/>
      <c r="M981" s="46" t="s">
        <v>3962</v>
      </c>
      <c r="N981" s="32"/>
      <c r="O981" s="32"/>
      <c r="P981" s="32"/>
      <c r="Q981" s="32"/>
      <c r="R981" s="32"/>
      <c r="S981" s="32"/>
      <c r="T981" s="34">
        <v>20</v>
      </c>
      <c r="U981" s="34">
        <f>E981+T981-2+2500</f>
        <v>2570</v>
      </c>
      <c r="V981" s="36" t="str">
        <f>LEFT(B981, SEARCH("",B981,2))</f>
        <v>23</v>
      </c>
      <c r="W981" s="39">
        <f>COUNTIF($V$5:$V$440,V981)-1</f>
        <v>-1</v>
      </c>
      <c r="X981" s="40"/>
      <c r="Y981" s="40"/>
      <c r="Z981" s="40"/>
      <c r="AA981" s="46"/>
    </row>
    <row r="982" spans="1:27" ht="18.75">
      <c r="A982" s="17"/>
      <c r="B982" s="20">
        <v>3750</v>
      </c>
      <c r="C982" s="21" t="s">
        <v>256</v>
      </c>
      <c r="D982" s="44" t="s">
        <v>773</v>
      </c>
      <c r="E982" s="21">
        <v>52</v>
      </c>
      <c r="F982" s="46" t="s">
        <v>152</v>
      </c>
      <c r="G982" s="26" t="s">
        <v>78</v>
      </c>
      <c r="H982" s="27">
        <v>9500</v>
      </c>
      <c r="I982" s="28"/>
      <c r="J982" s="229" t="str">
        <f>HYPERLINK("https://drive.google.com/drive/folders/0BwQ57SNHxB3BNDVQcXJNWkZOX2s","3750")</f>
        <v>3750</v>
      </c>
      <c r="K982" s="49" t="str">
        <f>HYPERLINK("https://drive.google.com/drive/folders/0BwQ57SNHxB3BUFZCYzVBQWZaVTA","3750")</f>
        <v>3750</v>
      </c>
      <c r="L982" s="51"/>
      <c r="M982" s="46" t="s">
        <v>3963</v>
      </c>
      <c r="N982" s="32"/>
      <c r="O982" s="32"/>
      <c r="P982" s="32"/>
      <c r="Q982" s="32"/>
      <c r="R982" s="32"/>
      <c r="S982" s="32"/>
      <c r="T982" s="34">
        <v>15</v>
      </c>
      <c r="U982" s="34">
        <f>E982+T982-2+2500</f>
        <v>2565</v>
      </c>
      <c r="V982" s="36" t="str">
        <f>LEFT(B982, SEARCH("",B982,2))</f>
        <v>37</v>
      </c>
      <c r="W982" s="39">
        <f>COUNTIF($V$5:$V$440,V982)-1</f>
        <v>-1</v>
      </c>
      <c r="X982" s="40"/>
      <c r="Y982" s="40"/>
      <c r="Z982" s="40"/>
      <c r="AA982" s="46"/>
    </row>
    <row r="983" spans="1:27" ht="18.75">
      <c r="A983" s="17"/>
      <c r="B983" s="20">
        <v>4240</v>
      </c>
      <c r="C983" s="21" t="s">
        <v>683</v>
      </c>
      <c r="D983" s="44" t="s">
        <v>748</v>
      </c>
      <c r="E983" s="21">
        <v>52</v>
      </c>
      <c r="F983" s="46" t="s">
        <v>750</v>
      </c>
      <c r="G983" s="26"/>
      <c r="H983" s="27"/>
      <c r="I983" s="28"/>
      <c r="J983" s="229" t="str">
        <f>HYPERLINK("https://drive.google.com/drive/folders/0BwQ57SNHxB3BdkxtSFp4T3BjSVk","4240")</f>
        <v>4240</v>
      </c>
      <c r="K983" s="49" t="str">
        <f>HYPERLINK("https://drive.google.com/drive/folders/0BwQ57SNHxB3BZ1ZzVm1EWkVlcnc","4240")</f>
        <v>4240</v>
      </c>
      <c r="L983" s="51"/>
      <c r="M983" s="46" t="s">
        <v>3964</v>
      </c>
      <c r="N983" s="32"/>
      <c r="O983" s="32"/>
      <c r="P983" s="32"/>
      <c r="Q983" s="32"/>
      <c r="R983" s="32"/>
      <c r="S983" s="32"/>
      <c r="T983" s="83">
        <v>10</v>
      </c>
      <c r="U983" s="83">
        <f>E983+T983-2+2500</f>
        <v>2560</v>
      </c>
      <c r="V983" s="36" t="str">
        <f>LEFT(B983, SEARCH("",B983,2))</f>
        <v>42</v>
      </c>
      <c r="W983" s="39">
        <f>COUNTIF($V$5:$V$440,V983)-1</f>
        <v>-1</v>
      </c>
      <c r="X983" s="40"/>
      <c r="Y983" s="40"/>
      <c r="Z983" s="40"/>
      <c r="AA983" s="46"/>
    </row>
    <row r="984" spans="1:27" ht="37.5">
      <c r="A984" s="50"/>
      <c r="B984" s="20">
        <v>6635</v>
      </c>
      <c r="C984" s="63" t="s">
        <v>372</v>
      </c>
      <c r="D984" s="44" t="s">
        <v>816</v>
      </c>
      <c r="E984" s="63">
        <v>52</v>
      </c>
      <c r="F984" s="74" t="s">
        <v>817</v>
      </c>
      <c r="G984" s="75" t="s">
        <v>78</v>
      </c>
      <c r="H984" s="317">
        <v>1350000</v>
      </c>
      <c r="I984" s="84"/>
      <c r="J984" s="229" t="str">
        <f>HYPERLINK("https://drive.google.com/drive/folders/0BwQ57SNHxB3BUl9wMGxrZ3JFUzQ","6635")</f>
        <v>6635</v>
      </c>
      <c r="K984" s="137" t="str">
        <f>HYPERLINK("https://drive.google.com/drive/folders/0BwN2QqBc2z4QfnY4U0JvR3FXcU9udlB0YUJXLUx0M05yMkZiRi0tbjJZR2lvUnBCLWc0bjg","6635")</f>
        <v>6635</v>
      </c>
      <c r="L984" s="88" t="s">
        <v>1180</v>
      </c>
      <c r="M984" s="46" t="s">
        <v>3965</v>
      </c>
      <c r="N984" s="32"/>
      <c r="O984" s="32"/>
      <c r="P984" s="32"/>
      <c r="Q984" s="32"/>
      <c r="R984" s="32"/>
      <c r="S984" s="32"/>
      <c r="T984" s="34">
        <v>10</v>
      </c>
      <c r="U984" s="34">
        <f>E984+T984-2+2500</f>
        <v>2560</v>
      </c>
      <c r="V984" s="36" t="str">
        <f>LEFT(B984, SEARCH("",B984,2))</f>
        <v>66</v>
      </c>
      <c r="W984" s="39">
        <f>COUNTIF($V$5:$V$440,V984)-1</f>
        <v>-1</v>
      </c>
      <c r="X984" s="40" t="s">
        <v>384</v>
      </c>
      <c r="Y984" s="40"/>
      <c r="Z984" s="40"/>
      <c r="AA984" s="46"/>
    </row>
    <row r="985" spans="1:27" ht="37.5">
      <c r="A985" s="50"/>
      <c r="B985" s="20">
        <v>6635</v>
      </c>
      <c r="C985" s="21" t="s">
        <v>372</v>
      </c>
      <c r="D985" s="44" t="s">
        <v>823</v>
      </c>
      <c r="E985" s="21">
        <v>52</v>
      </c>
      <c r="F985" s="46" t="s">
        <v>824</v>
      </c>
      <c r="G985" s="26" t="s">
        <v>53</v>
      </c>
      <c r="H985" s="27">
        <v>1500000</v>
      </c>
      <c r="I985" s="28"/>
      <c r="J985" s="229" t="str">
        <f>HYPERLINK("https://drive.google.com/drive/folders/0BwQ57SNHxB3BamRBSDB3ajBQWmc","6635")</f>
        <v>6635</v>
      </c>
      <c r="K985" s="137" t="str">
        <f>HYPERLINK("https://drive.google.com/drive/folders/0BwN2QqBc2z4QfnY4U0JvR3FXcU9udlB0YUJXLUx0M05yMkZiRi0tbjJZR2lvUnBCLWc0bjg","6635")</f>
        <v>6635</v>
      </c>
      <c r="L985" s="88" t="s">
        <v>1213</v>
      </c>
      <c r="M985" s="46" t="s">
        <v>3965</v>
      </c>
      <c r="N985" s="32"/>
      <c r="O985" s="32"/>
      <c r="P985" s="32"/>
      <c r="Q985" s="32"/>
      <c r="R985" s="32"/>
      <c r="S985" s="32"/>
      <c r="T985" s="83">
        <v>10</v>
      </c>
      <c r="U985" s="83">
        <f>E985+T985-2+2500</f>
        <v>2560</v>
      </c>
      <c r="V985" s="36" t="str">
        <f>LEFT(B985, SEARCH("",B985,2))</f>
        <v>66</v>
      </c>
      <c r="W985" s="39">
        <f>COUNTIF($V$5:$V$440,V985)-1</f>
        <v>-1</v>
      </c>
      <c r="X985" s="40" t="s">
        <v>384</v>
      </c>
      <c r="Y985" s="40"/>
      <c r="Z985" s="40"/>
      <c r="AA985" s="46"/>
    </row>
    <row r="986" spans="1:27" ht="18.75">
      <c r="A986" s="121"/>
      <c r="B986" s="20">
        <v>2320</v>
      </c>
      <c r="C986" s="21" t="s">
        <v>37</v>
      </c>
      <c r="D986" s="63" t="s">
        <v>797</v>
      </c>
      <c r="E986" s="21">
        <v>53</v>
      </c>
      <c r="F986" s="46" t="s">
        <v>41</v>
      </c>
      <c r="G986" s="27" t="s">
        <v>28</v>
      </c>
      <c r="H986" s="47">
        <v>2600000</v>
      </c>
      <c r="I986" s="47"/>
      <c r="J986" s="229" t="str">
        <f>HYPERLINK("https://drive.google.com/drive/folders/0BwQ57SNHxB3BX1lXTzRNMk5LVWc","2320")</f>
        <v>2320</v>
      </c>
      <c r="K986" s="28"/>
      <c r="L986" s="28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  <c r="AA986" s="46"/>
    </row>
    <row r="987" spans="1:27" ht="18.75">
      <c r="A987" s="111"/>
      <c r="B987" s="20">
        <v>2320</v>
      </c>
      <c r="C987" s="21" t="s">
        <v>37</v>
      </c>
      <c r="D987" s="63" t="s">
        <v>797</v>
      </c>
      <c r="E987" s="21">
        <v>53</v>
      </c>
      <c r="F987" s="24" t="s">
        <v>41</v>
      </c>
      <c r="G987" s="27" t="s">
        <v>28</v>
      </c>
      <c r="H987" s="47">
        <v>2600000</v>
      </c>
      <c r="I987" s="47"/>
      <c r="J987" s="318" t="str">
        <f>HYPERLINK("https://drive.google.com/drive/folders/0BwQ57SNHxB3BX1lXTzRNMk5LVWc","2320")</f>
        <v>2320</v>
      </c>
      <c r="K987" s="157"/>
      <c r="L987" s="157"/>
      <c r="M987" s="319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  <c r="AA987" s="46"/>
    </row>
    <row r="988" spans="1:27" ht="18.75">
      <c r="A988" s="121"/>
      <c r="B988" s="20">
        <v>3825</v>
      </c>
      <c r="C988" s="21"/>
      <c r="D988" s="63" t="s">
        <v>3966</v>
      </c>
      <c r="E988" s="21">
        <v>53</v>
      </c>
      <c r="F988" s="46" t="s">
        <v>3967</v>
      </c>
      <c r="G988" s="27"/>
      <c r="H988" s="47"/>
      <c r="I988" s="47"/>
      <c r="J988" s="320" t="str">
        <f>HYPERLINK("https://drive.google.com/open?id=0B2vBTVEfSzIteEtLVTJDZzR1VkU","3825")</f>
        <v>3825</v>
      </c>
      <c r="K988" s="28"/>
      <c r="L988" s="28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  <c r="AA988" s="46"/>
    </row>
    <row r="989" spans="1:27" ht="18.75">
      <c r="A989" s="121"/>
      <c r="B989" s="20">
        <v>3825</v>
      </c>
      <c r="C989" s="21" t="s">
        <v>63</v>
      </c>
      <c r="D989" s="44" t="s">
        <v>3968</v>
      </c>
      <c r="E989" s="21">
        <v>53</v>
      </c>
      <c r="F989" s="46" t="s">
        <v>3967</v>
      </c>
      <c r="G989" s="27" t="s">
        <v>28</v>
      </c>
      <c r="H989" s="47">
        <v>10000000</v>
      </c>
      <c r="I989" s="28"/>
      <c r="J989" s="320" t="str">
        <f>HYPERLINK("https://drive.google.com/open?id=0B2vBTVEfSzIteEtLVTJDZzR1VkU","3825")</f>
        <v>3825</v>
      </c>
      <c r="K989" s="49" t="str">
        <f>HYPERLINK("https://drive.google.com/drive/folders/0BwQ57SNHxB3BVGpIdG9kem1lVGc","3825")</f>
        <v>3825</v>
      </c>
      <c r="L989" s="49"/>
      <c r="M989" s="46"/>
      <c r="N989" s="32"/>
      <c r="O989" s="32"/>
      <c r="P989" s="32"/>
      <c r="Q989" s="32"/>
      <c r="R989" s="32"/>
      <c r="S989" s="321" t="b">
        <f>IF(N989+O989+P989+Q989+R989=5,"พร้อมเปิดประชุม")</f>
        <v>0</v>
      </c>
      <c r="T989" s="34">
        <v>20</v>
      </c>
      <c r="U989" s="34">
        <f>E989+T989-2+2500</f>
        <v>2571</v>
      </c>
      <c r="V989" s="36" t="str">
        <f>LEFT(B989, SEARCH("",B989,2))</f>
        <v>38</v>
      </c>
      <c r="W989" s="39" t="e">
        <f>COUNTIF(#REF!,V989)-1</f>
        <v>#REF!</v>
      </c>
      <c r="X989" s="39"/>
      <c r="Y989" s="39"/>
      <c r="Z989" s="39"/>
      <c r="AA989" s="39"/>
    </row>
    <row r="990" spans="1:27" ht="37.5">
      <c r="A990" s="121"/>
      <c r="B990" s="20">
        <v>4120</v>
      </c>
      <c r="C990" s="21" t="s">
        <v>157</v>
      </c>
      <c r="D990" s="63" t="s">
        <v>3969</v>
      </c>
      <c r="E990" s="21">
        <v>53</v>
      </c>
      <c r="F990" s="46" t="s">
        <v>3970</v>
      </c>
      <c r="G990" s="27"/>
      <c r="H990" s="47">
        <v>23000</v>
      </c>
      <c r="I990" s="47"/>
      <c r="J990" s="229"/>
      <c r="K990" s="28"/>
      <c r="L990" s="28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  <c r="AA990" s="46"/>
    </row>
    <row r="991" spans="1:27" ht="37.5">
      <c r="A991" s="121"/>
      <c r="B991" s="20">
        <v>4120</v>
      </c>
      <c r="C991" s="21"/>
      <c r="D991" s="63" t="s">
        <v>3971</v>
      </c>
      <c r="E991" s="21">
        <v>53</v>
      </c>
      <c r="F991" s="46" t="s">
        <v>3972</v>
      </c>
      <c r="G991" s="27"/>
      <c r="H991" s="47">
        <v>28500</v>
      </c>
      <c r="I991" s="47"/>
      <c r="J991" s="229"/>
      <c r="K991" s="28"/>
      <c r="L991" s="28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  <c r="AA991" s="46"/>
    </row>
    <row r="992" spans="1:27" ht="37.5">
      <c r="A992" s="121"/>
      <c r="B992" s="20">
        <v>4120</v>
      </c>
      <c r="C992" s="21"/>
      <c r="D992" s="63" t="s">
        <v>3973</v>
      </c>
      <c r="E992" s="21">
        <v>53</v>
      </c>
      <c r="F992" s="46" t="s">
        <v>3974</v>
      </c>
      <c r="G992" s="27"/>
      <c r="H992" s="47">
        <v>29333</v>
      </c>
      <c r="I992" s="47"/>
      <c r="J992" s="229"/>
      <c r="K992" s="28"/>
      <c r="L992" s="28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  <c r="AA992" s="46"/>
    </row>
    <row r="993" spans="1:27" ht="37.5">
      <c r="A993" s="121"/>
      <c r="B993" s="20" t="str">
        <f>LEFT(D993, SEARCH("",D993,4))</f>
        <v>5610</v>
      </c>
      <c r="C993" s="21" t="s">
        <v>191</v>
      </c>
      <c r="D993" s="63" t="s">
        <v>3975</v>
      </c>
      <c r="E993" s="21">
        <v>53</v>
      </c>
      <c r="F993" s="46" t="s">
        <v>3976</v>
      </c>
      <c r="G993" s="27"/>
      <c r="H993" s="47"/>
      <c r="I993" s="47"/>
      <c r="J993" s="229" t="str">
        <f>HYPERLINK("https://drive.google.com/drive/#folders/0B2rLR4BADrBtZ1dDSnBReWNzMVE/0B2rLR4BADrBtNVFpNDJjRFBhNTQ/0B2rLR4BADrBtSml6RWEzUWE0eVk/0B2rLR4BADrBtfnZ3Ulc2WS1SVDB5VlFkd1U5cHpCTXp2UDNZNmliY0dzNjZkRFB5UnEwTDQ","5610")</f>
        <v>5610</v>
      </c>
      <c r="K993" s="28"/>
      <c r="L993" s="28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  <c r="AA993" s="46"/>
    </row>
    <row r="994" spans="1:27" ht="37.5">
      <c r="A994" s="121"/>
      <c r="B994" s="20" t="str">
        <f>LEFT(D994, SEARCH("",D994,4))</f>
        <v>5610</v>
      </c>
      <c r="C994" s="21" t="s">
        <v>191</v>
      </c>
      <c r="D994" s="63" t="s">
        <v>3977</v>
      </c>
      <c r="E994" s="21">
        <v>53</v>
      </c>
      <c r="F994" s="46" t="s">
        <v>3978</v>
      </c>
      <c r="G994" s="27"/>
      <c r="H994" s="47"/>
      <c r="I994" s="47"/>
      <c r="J994" s="229" t="str">
        <f>HYPERLINK("https://drive.google.com/drive/#folders/0B2rLR4BADrBtZ1dDSnBReWNzMVE/0B2rLR4BADrBtNVFpNDJjRFBhNTQ/0B2rLR4BADrBtSml6RWEzUWE0eVk/0B2rLR4BADrBtfnZ3Ulc2WS1SVDB5VlFkd1U5cHpCTXp2UDNZNmliY0dzNjZkRFB5UnEwTDQ","5610")</f>
        <v>5610</v>
      </c>
      <c r="K994" s="28"/>
      <c r="L994" s="28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  <c r="AA994" s="46"/>
    </row>
    <row r="995" spans="1:27" ht="37.5">
      <c r="A995" s="121"/>
      <c r="B995" s="20" t="str">
        <f>LEFT(D995, SEARCH("",D995,4))</f>
        <v>5610</v>
      </c>
      <c r="C995" s="21" t="s">
        <v>191</v>
      </c>
      <c r="D995" s="63" t="s">
        <v>3979</v>
      </c>
      <c r="E995" s="21">
        <v>53</v>
      </c>
      <c r="F995" s="46" t="s">
        <v>3980</v>
      </c>
      <c r="G995" s="27"/>
      <c r="H995" s="47"/>
      <c r="I995" s="47"/>
      <c r="J995" s="229" t="str">
        <f>HYPERLINK("https://drive.google.com/drive/#folders/0B2rLR4BADrBtZ1dDSnBReWNzMVE/0B2rLR4BADrBtNVFpNDJjRFBhNTQ/0B2rLR4BADrBtSml6RWEzUWE0eVk/0B2rLR4BADrBtfnZ3Ulc2WS1SVDB5VlFkd1U5cHpCTXp2UDNZNmliY0dzNjZkRFB5UnEwTDQ","5610")</f>
        <v>5610</v>
      </c>
      <c r="K995" s="28"/>
      <c r="L995" s="28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  <c r="AA995" s="46"/>
    </row>
    <row r="996" spans="1:27" ht="18.75">
      <c r="A996" s="121"/>
      <c r="B996" s="20" t="str">
        <f>LEFT(D996, SEARCH("",D996,4))</f>
        <v>6150</v>
      </c>
      <c r="C996" s="21" t="s">
        <v>37</v>
      </c>
      <c r="D996" s="63" t="s">
        <v>3981</v>
      </c>
      <c r="E996" s="21">
        <v>53</v>
      </c>
      <c r="F996" s="46" t="s">
        <v>3982</v>
      </c>
      <c r="G996" s="27"/>
      <c r="H996" s="47"/>
      <c r="I996" s="47"/>
      <c r="J996" s="229" t="str">
        <f>HYPERLINK("https://drive.google.com/drive/#folders/0B2rLR4BADrBtZ1dDSnBReWNzMVE/0B2rLR4BADrBtNVFpNDJjRFBhNTQ/0B2rLR4BADrBtSml6RWEzUWE0eVk/0B2rLR4BADrBtfnhpTHEzMVlfellTNlhjVmlQeXhmRTBnV3N0bUV2R3VLOU0tRlZjb3VMa0U","6150")</f>
        <v>6150</v>
      </c>
      <c r="K996" s="28"/>
      <c r="L996" s="28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  <c r="AA996" s="46"/>
    </row>
    <row r="997" spans="1:27" ht="18.75">
      <c r="A997" s="121"/>
      <c r="B997" s="20" t="str">
        <f>LEFT(D997, SEARCH("",D997,4))</f>
        <v>6625</v>
      </c>
      <c r="C997" s="21" t="s">
        <v>37</v>
      </c>
      <c r="D997" s="63" t="s">
        <v>3983</v>
      </c>
      <c r="E997" s="21">
        <v>53</v>
      </c>
      <c r="F997" s="46" t="s">
        <v>3984</v>
      </c>
      <c r="G997" s="27"/>
      <c r="H997" s="47"/>
      <c r="I997" s="47"/>
      <c r="J997" s="229" t="str">
        <f>HYPERLINK("https://drive.google.com/drive/#folders/0B2rLR4BADrBtZ1dDSnBReWNzMVE/0B2rLR4BADrBtNVFpNDJjRFBhNTQ/0B2rLR4BADrBtSml6RWEzUWE0eVk/0B2rLR4BADrBtfnlNczYwYXFEd0VacklHVC1FdHZoTkRUaDJTY0IwWDFSOFNIRk5FQnFPTUU","6625")</f>
        <v>6625</v>
      </c>
      <c r="K997" s="28"/>
      <c r="L997" s="28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  <c r="AA997" s="46"/>
    </row>
    <row r="998" spans="1:27" ht="37.5">
      <c r="A998" s="17"/>
      <c r="B998" s="20">
        <v>2320</v>
      </c>
      <c r="C998" s="21" t="s">
        <v>37</v>
      </c>
      <c r="D998" s="66" t="s">
        <v>797</v>
      </c>
      <c r="E998" s="21">
        <v>53</v>
      </c>
      <c r="F998" s="46" t="s">
        <v>41</v>
      </c>
      <c r="G998" s="26" t="s">
        <v>28</v>
      </c>
      <c r="H998" s="27">
        <v>2600000</v>
      </c>
      <c r="I998" s="28"/>
      <c r="J998" s="229" t="str">
        <f>HYPERLINK("https://drive.google.com/drive/folders/0BwQ57SNHxB3BX1lXTzRNMk5LVWc","2320")</f>
        <v>2320</v>
      </c>
      <c r="K998" s="49"/>
      <c r="L998" s="51"/>
      <c r="M998" s="46" t="s">
        <v>3985</v>
      </c>
      <c r="N998" s="32"/>
      <c r="O998" s="32"/>
      <c r="P998" s="32"/>
      <c r="Q998" s="32"/>
      <c r="R998" s="32"/>
      <c r="S998" s="32"/>
      <c r="T998" s="34">
        <v>20</v>
      </c>
      <c r="U998" s="34">
        <f>E998+T998-2+2500</f>
        <v>2571</v>
      </c>
      <c r="V998" s="36" t="str">
        <f>LEFT(B998, SEARCH("",B998,2))</f>
        <v>23</v>
      </c>
      <c r="W998" s="39">
        <f>COUNTIF($V$5:$V$440,V998)-1</f>
        <v>-1</v>
      </c>
      <c r="X998" s="40"/>
      <c r="Y998" s="40"/>
      <c r="Z998" s="40"/>
      <c r="AA998" s="46"/>
    </row>
    <row r="999" spans="1:27" ht="37.5">
      <c r="A999" s="17"/>
      <c r="B999" s="20">
        <v>4210</v>
      </c>
      <c r="C999" s="21" t="s">
        <v>683</v>
      </c>
      <c r="D999" s="44" t="s">
        <v>723</v>
      </c>
      <c r="E999" s="21">
        <v>53</v>
      </c>
      <c r="F999" s="46" t="s">
        <v>685</v>
      </c>
      <c r="G999" s="26" t="s">
        <v>78</v>
      </c>
      <c r="H999" s="27">
        <v>12000</v>
      </c>
      <c r="I999" s="28"/>
      <c r="J999" s="229" t="str">
        <f>HYPERLINK("https://drive.google.com/drive/folders/0BwQ57SNHxB3BR280eHpuX2lvMEE","4210")</f>
        <v>4210</v>
      </c>
      <c r="K999" s="49" t="str">
        <f>HYPERLINK("https://drive.google.com/drive/folders/0BwN2QqBc2z4Qfmtfdk5jMzM5Qml2c0t5YmJTblNUU1c4MEItN2tEWDV5MG1WQ0prdHBtWUk","4210")</f>
        <v>4210</v>
      </c>
      <c r="L999" s="51"/>
      <c r="M999" s="46" t="s">
        <v>3986</v>
      </c>
      <c r="N999" s="32"/>
      <c r="O999" s="32"/>
      <c r="P999" s="32"/>
      <c r="Q999" s="32"/>
      <c r="R999" s="32"/>
      <c r="S999" s="32"/>
      <c r="T999" s="34">
        <v>10</v>
      </c>
      <c r="U999" s="34">
        <f>E999+T999-2+2500</f>
        <v>2561</v>
      </c>
      <c r="V999" s="36" t="str">
        <f>LEFT(B999, SEARCH("",B999,2))</f>
        <v>42</v>
      </c>
      <c r="W999" s="39">
        <f>COUNTIF($V$5:$V$440,V999)-1</f>
        <v>-1</v>
      </c>
      <c r="X999" s="40"/>
      <c r="Y999" s="40"/>
      <c r="Z999" s="40"/>
      <c r="AA999" s="46"/>
    </row>
    <row r="1000" spans="1:27" ht="18.75">
      <c r="A1000" s="17"/>
      <c r="B1000" s="20">
        <v>4210</v>
      </c>
      <c r="C1000" s="21" t="s">
        <v>683</v>
      </c>
      <c r="D1000" s="44" t="s">
        <v>732</v>
      </c>
      <c r="E1000" s="21">
        <v>53</v>
      </c>
      <c r="F1000" s="46" t="s">
        <v>733</v>
      </c>
      <c r="G1000" s="26" t="s">
        <v>78</v>
      </c>
      <c r="H1000" s="27"/>
      <c r="I1000" s="28"/>
      <c r="J1000" s="229" t="str">
        <f>HYPERLINK("https://drive.google.com/drive/folders/0BwQ57SNHxB3BYkRDVTVmZkgxVTg","4210")</f>
        <v>4210</v>
      </c>
      <c r="K1000" s="49" t="str">
        <f>HYPERLINK("https://drive.google.com/drive/folders/0BwN2QqBc2z4Qfmtfdk5jMzM5Qml2c0t5YmJTblNUU1c4MEItN2tEWDV5MG1WQ0prdHBtWUk","4210")</f>
        <v>4210</v>
      </c>
      <c r="L1000" s="51"/>
      <c r="M1000" s="46" t="s">
        <v>3964</v>
      </c>
      <c r="N1000" s="32"/>
      <c r="O1000" s="32"/>
      <c r="P1000" s="32"/>
      <c r="Q1000" s="32"/>
      <c r="R1000" s="32"/>
      <c r="S1000" s="32"/>
      <c r="T1000" s="34">
        <v>10</v>
      </c>
      <c r="U1000" s="34">
        <f>E1000+T1000-2+2500</f>
        <v>2561</v>
      </c>
      <c r="V1000" s="36" t="str">
        <f>LEFT(B1000, SEARCH("",B1000,2))</f>
        <v>42</v>
      </c>
      <c r="W1000" s="39">
        <f>COUNTIF($V$5:$V$440,V1000)-1</f>
        <v>-1</v>
      </c>
      <c r="X1000" s="40"/>
      <c r="Y1000" s="40"/>
      <c r="Z1000" s="40"/>
      <c r="AA1000" s="46"/>
    </row>
    <row r="1001" spans="1:27" ht="18.75">
      <c r="A1001" s="17"/>
      <c r="B1001" s="20">
        <v>4210</v>
      </c>
      <c r="C1001" s="21" t="s">
        <v>683</v>
      </c>
      <c r="D1001" s="44" t="s">
        <v>765</v>
      </c>
      <c r="E1001" s="21">
        <v>53</v>
      </c>
      <c r="F1001" s="46" t="s">
        <v>766</v>
      </c>
      <c r="G1001" s="26" t="s">
        <v>707</v>
      </c>
      <c r="H1001" s="27">
        <v>15100</v>
      </c>
      <c r="I1001" s="28"/>
      <c r="J1001" s="229" t="str">
        <f>HYPERLINK("https://drive.google.com/drive/folders/0BwQ57SNHxB3BalhGQUVRa2lzUVk","4210")</f>
        <v>4210</v>
      </c>
      <c r="K1001" s="49" t="str">
        <f>HYPERLINK("https://drive.google.com/drive/folders/0BwN2QqBc2z4Qfmtfdk5jMzM5Qml2c0t5YmJTblNUU1c4MEItN2tEWDV5MG1WQ0prdHBtWUk","4210")</f>
        <v>4210</v>
      </c>
      <c r="L1001" s="51"/>
      <c r="M1001" s="46" t="s">
        <v>3964</v>
      </c>
      <c r="N1001" s="32"/>
      <c r="O1001" s="32"/>
      <c r="P1001" s="32"/>
      <c r="Q1001" s="32"/>
      <c r="R1001" s="32"/>
      <c r="S1001" s="32"/>
      <c r="T1001" s="83">
        <v>10</v>
      </c>
      <c r="U1001" s="83">
        <f>E1001+T1001-2+2500</f>
        <v>2561</v>
      </c>
      <c r="V1001" s="36" t="str">
        <f>LEFT(B1001, SEARCH("",B1001,2))</f>
        <v>42</v>
      </c>
      <c r="W1001" s="39">
        <f>COUNTIF($V$5:$V$440,V1001)-1</f>
        <v>-1</v>
      </c>
      <c r="X1001" s="40"/>
      <c r="Y1001" s="40"/>
      <c r="Z1001" s="40"/>
      <c r="AA1001" s="46"/>
    </row>
    <row r="1002" spans="1:27" ht="37.5">
      <c r="A1002" s="17"/>
      <c r="B1002" s="20">
        <v>6115</v>
      </c>
      <c r="C1002" s="21" t="s">
        <v>37</v>
      </c>
      <c r="D1002" s="44" t="s">
        <v>781</v>
      </c>
      <c r="E1002" s="21">
        <v>53</v>
      </c>
      <c r="F1002" s="46" t="s">
        <v>782</v>
      </c>
      <c r="G1002" s="26" t="s">
        <v>78</v>
      </c>
      <c r="H1002" s="27">
        <v>2267700</v>
      </c>
      <c r="I1002" s="28"/>
      <c r="J1002" s="229" t="str">
        <f>HYPERLINK("https://drive.google.com/drive/folders/0BwQ57SNHxB3BOHNFeU0yS3VtYzQ","6115")</f>
        <v>6115</v>
      </c>
      <c r="K1002" s="137" t="str">
        <f>HYPERLINK("https://drive.google.com/drive/folders/0BwN2QqBc2z4QfjhLT3VXcmMxTVZyVWNMWTc0MkJJMlU0UnB3eTljcl95NlNudVl0U21IdkU","6115")</f>
        <v>6115</v>
      </c>
      <c r="L1002" s="138"/>
      <c r="M1002" s="46" t="s">
        <v>3987</v>
      </c>
      <c r="N1002" s="32"/>
      <c r="O1002" s="32"/>
      <c r="P1002" s="32"/>
      <c r="Q1002" s="32"/>
      <c r="R1002" s="32"/>
      <c r="S1002" s="32"/>
      <c r="T1002" s="34">
        <v>15</v>
      </c>
      <c r="U1002" s="34">
        <f>E1002+T1002-2+2500</f>
        <v>2566</v>
      </c>
      <c r="V1002" s="36" t="str">
        <f>LEFT(B1002, SEARCH("",B1002,2))</f>
        <v>61</v>
      </c>
      <c r="W1002" s="39">
        <f>COUNTIF($V$5:$V$440,V1002)-1</f>
        <v>-1</v>
      </c>
      <c r="X1002" s="40"/>
      <c r="Y1002" s="40"/>
      <c r="Z1002" s="40"/>
      <c r="AA1002" s="46"/>
    </row>
    <row r="1003" spans="1:27" ht="18.75">
      <c r="A1003" s="121"/>
      <c r="B1003" s="20">
        <v>3431</v>
      </c>
      <c r="C1003" s="21"/>
      <c r="D1003" s="63" t="s">
        <v>3988</v>
      </c>
      <c r="E1003" s="21">
        <v>54</v>
      </c>
      <c r="F1003" s="46" t="s">
        <v>3989</v>
      </c>
      <c r="G1003" s="27"/>
      <c r="H1003" s="47"/>
      <c r="I1003" s="47"/>
      <c r="J1003" s="229"/>
      <c r="K1003" s="28"/>
      <c r="L1003" s="28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  <c r="AA1003" s="46"/>
    </row>
    <row r="1004" spans="1:27" ht="18.75">
      <c r="A1004" s="121"/>
      <c r="B1004" s="20">
        <v>3930</v>
      </c>
      <c r="C1004" s="21"/>
      <c r="D1004" s="63" t="s">
        <v>3990</v>
      </c>
      <c r="E1004" s="21">
        <v>54</v>
      </c>
      <c r="F1004" s="46" t="s">
        <v>479</v>
      </c>
      <c r="G1004" s="27"/>
      <c r="H1004" s="47"/>
      <c r="I1004" s="47"/>
      <c r="J1004" s="229"/>
      <c r="K1004" s="28"/>
      <c r="L1004" s="28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  <c r="AA1004" s="46"/>
    </row>
    <row r="1005" spans="1:27" ht="18.75">
      <c r="A1005" s="121"/>
      <c r="B1005" s="20">
        <v>3930</v>
      </c>
      <c r="C1005" s="21" t="s">
        <v>63</v>
      </c>
      <c r="D1005" s="63" t="s">
        <v>847</v>
      </c>
      <c r="E1005" s="21">
        <v>54</v>
      </c>
      <c r="F1005" s="46" t="s">
        <v>848</v>
      </c>
      <c r="G1005" s="27" t="s">
        <v>28</v>
      </c>
      <c r="H1005" s="47">
        <v>2065000</v>
      </c>
      <c r="I1005" s="47"/>
      <c r="J1005" s="229" t="str">
        <f>HYPERLINK("https://drive.google.com/drive/folders/0BwQ57SNHxB3BaXNVbm5oSjFFdGc","3930")</f>
        <v>3930</v>
      </c>
      <c r="K1005" s="28"/>
      <c r="L1005" s="28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  <c r="AA1005" s="46"/>
    </row>
    <row r="1006" spans="1:27" ht="18.75">
      <c r="A1006" s="121"/>
      <c r="B1006" s="20">
        <v>4210</v>
      </c>
      <c r="C1006" s="21"/>
      <c r="D1006" s="63" t="s">
        <v>3991</v>
      </c>
      <c r="E1006" s="21">
        <v>54</v>
      </c>
      <c r="F1006" s="46" t="s">
        <v>3992</v>
      </c>
      <c r="G1006" s="27"/>
      <c r="H1006" s="47"/>
      <c r="I1006" s="47"/>
      <c r="J1006" s="229"/>
      <c r="K1006" s="28"/>
      <c r="L1006" s="28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  <c r="AA1006" s="46"/>
    </row>
    <row r="1007" spans="1:27" ht="18.75">
      <c r="A1007" s="121"/>
      <c r="B1007" s="20">
        <v>4210</v>
      </c>
      <c r="C1007" s="21" t="s">
        <v>683</v>
      </c>
      <c r="D1007" s="63" t="s">
        <v>767</v>
      </c>
      <c r="E1007" s="21">
        <v>54</v>
      </c>
      <c r="F1007" s="46" t="s">
        <v>3993</v>
      </c>
      <c r="G1007" s="27" t="s">
        <v>712</v>
      </c>
      <c r="H1007" s="47">
        <v>41730</v>
      </c>
      <c r="I1007" s="47"/>
      <c r="J1007" s="229" t="str">
        <f>HYPERLINK("https://drive.google.com/drive/folders/0BwQ57SNHxB3BTjF6Ulk0VV96dFE","4210")</f>
        <v>4210</v>
      </c>
      <c r="K1007" s="28"/>
      <c r="L1007" s="28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  <c r="AA1007" s="46"/>
    </row>
    <row r="1008" spans="1:27" ht="18.75">
      <c r="A1008" s="121"/>
      <c r="B1008" s="20">
        <v>4210</v>
      </c>
      <c r="C1008" s="21" t="s">
        <v>683</v>
      </c>
      <c r="D1008" s="63" t="s">
        <v>770</v>
      </c>
      <c r="E1008" s="21">
        <v>54</v>
      </c>
      <c r="F1008" s="46" t="s">
        <v>771</v>
      </c>
      <c r="G1008" s="27" t="s">
        <v>712</v>
      </c>
      <c r="H1008" s="47">
        <v>48150</v>
      </c>
      <c r="I1008" s="47"/>
      <c r="J1008" s="229" t="str">
        <f>HYPERLINK("https://drive.google.com/drive/folders/0BwQ57SNHxB3BbW5wdXN6aFI1VTA","4210")</f>
        <v>4210</v>
      </c>
      <c r="K1008" s="28"/>
      <c r="L1008" s="28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  <c r="AA1008" s="46"/>
    </row>
    <row r="1009" spans="1:27" ht="18.75">
      <c r="A1009" s="121"/>
      <c r="B1009" s="20">
        <v>4320</v>
      </c>
      <c r="C1009" s="21" t="s">
        <v>256</v>
      </c>
      <c r="D1009" s="63" t="s">
        <v>953</v>
      </c>
      <c r="E1009" s="21">
        <v>54</v>
      </c>
      <c r="F1009" s="46" t="s">
        <v>3994</v>
      </c>
      <c r="G1009" s="27" t="s">
        <v>78</v>
      </c>
      <c r="H1009" s="47">
        <v>12000</v>
      </c>
      <c r="I1009" s="47"/>
      <c r="J1009" s="229" t="str">
        <f>HYPERLINK("https://drive.google.com/drive/folders/0BwQ57SNHxB3BMDl5UlB4V2Y0N3M","4320")</f>
        <v>4320</v>
      </c>
      <c r="K1009" s="28"/>
      <c r="L1009" s="28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  <c r="AA1009" s="46"/>
    </row>
    <row r="1010" spans="1:27" ht="37.5">
      <c r="A1010" s="121"/>
      <c r="B1010" s="20">
        <v>4320</v>
      </c>
      <c r="C1010" s="21" t="s">
        <v>256</v>
      </c>
      <c r="D1010" s="63" t="s">
        <v>945</v>
      </c>
      <c r="E1010" s="21">
        <v>54</v>
      </c>
      <c r="F1010" s="46" t="s">
        <v>946</v>
      </c>
      <c r="G1010" s="27" t="s">
        <v>78</v>
      </c>
      <c r="H1010" s="47">
        <v>53800</v>
      </c>
      <c r="I1010" s="47"/>
      <c r="J1010" s="229" t="str">
        <f>HYPERLINK("https://drive.google.com/drive/folders/0BwQ57SNHxB3Ba2pzb1hNUEFCbnc","4320")</f>
        <v>4320</v>
      </c>
      <c r="K1010" s="28"/>
      <c r="L1010" s="28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  <c r="AA1010" s="46"/>
    </row>
    <row r="1011" spans="1:27" ht="18.75">
      <c r="A1011" s="121"/>
      <c r="B1011" s="20">
        <v>5130</v>
      </c>
      <c r="C1011" s="21" t="s">
        <v>157</v>
      </c>
      <c r="D1011" s="63" t="s">
        <v>1159</v>
      </c>
      <c r="E1011" s="21">
        <v>54</v>
      </c>
      <c r="F1011" s="46" t="s">
        <v>3995</v>
      </c>
      <c r="G1011" s="27" t="s">
        <v>78</v>
      </c>
      <c r="H1011" s="47">
        <v>7800</v>
      </c>
      <c r="I1011" s="47"/>
      <c r="J1011" s="229" t="str">
        <f>HYPERLINK("https://drive.google.com/drive/folders/0BwQ57SNHxB3BM0Q4clUzQ0oxOGs","5130")</f>
        <v>5130</v>
      </c>
      <c r="K1011" s="28"/>
      <c r="L1011" s="28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  <c r="AA1011" s="46"/>
    </row>
    <row r="1012" spans="1:27" ht="18.75">
      <c r="A1012" s="121"/>
      <c r="B1012" s="20">
        <v>8415</v>
      </c>
      <c r="C1012" s="21" t="s">
        <v>683</v>
      </c>
      <c r="D1012" s="63" t="s">
        <v>743</v>
      </c>
      <c r="E1012" s="21">
        <v>54</v>
      </c>
      <c r="F1012" s="46" t="s">
        <v>741</v>
      </c>
      <c r="G1012" s="27" t="s">
        <v>53</v>
      </c>
      <c r="H1012" s="47">
        <v>120000</v>
      </c>
      <c r="I1012" s="47"/>
      <c r="J1012" s="229" t="str">
        <f>HYPERLINK("https://drive.google.com/drive/folders/0BwQ57SNHxB3BdVl3azZDRURmRjQ","8415")</f>
        <v>8415</v>
      </c>
      <c r="K1012" s="28"/>
      <c r="L1012" s="28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  <c r="AA1012" s="46"/>
    </row>
    <row r="1013" spans="1:27" ht="18.75">
      <c r="A1013" s="121"/>
      <c r="B1013" s="20" t="str">
        <f>LEFT(D1013, SEARCH("",D1013,4))</f>
        <v>5130</v>
      </c>
      <c r="C1013" s="21" t="s">
        <v>191</v>
      </c>
      <c r="D1013" s="63" t="s">
        <v>3996</v>
      </c>
      <c r="E1013" s="21">
        <v>54</v>
      </c>
      <c r="F1013" s="46" t="s">
        <v>3997</v>
      </c>
      <c r="G1013" s="27"/>
      <c r="H1013" s="47"/>
      <c r="I1013" s="47"/>
      <c r="J1013" s="229" t="str">
        <f>HYPERLINK("https://drive.google.com/drive/#folders/0B2rLR4BADrBtZ1dDSnBReWNzMVE/0B2rLR4BADrBtNVFpNDJjRFBhNTQ/0B2rLR4BADrBtSml6RWEzUWE0eVk/0B2rLR4BADrBtfjBUdnVDTnlmQ0xnXzJ6cFVLbWpvSUtITXVTbm1HQ2FjMEpJSHN5dXhxSWc","5130")</f>
        <v>5130</v>
      </c>
      <c r="K1013" s="28"/>
      <c r="L1013" s="28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  <c r="AA1013" s="46"/>
    </row>
    <row r="1014" spans="1:27" ht="37.5">
      <c r="A1014" s="17"/>
      <c r="B1014" s="20">
        <v>3930</v>
      </c>
      <c r="C1014" s="21" t="s">
        <v>63</v>
      </c>
      <c r="D1014" s="44" t="s">
        <v>847</v>
      </c>
      <c r="E1014" s="21">
        <v>54</v>
      </c>
      <c r="F1014" s="46" t="s">
        <v>848</v>
      </c>
      <c r="G1014" s="26" t="s">
        <v>28</v>
      </c>
      <c r="H1014" s="27">
        <v>2065000</v>
      </c>
      <c r="I1014" s="28"/>
      <c r="J1014" s="229" t="str">
        <f>HYPERLINK("https://drive.google.com/drive/folders/0BwQ57SNHxB3BaXNVbm5oSjFFdGc","3930")</f>
        <v>3930</v>
      </c>
      <c r="K1014" s="81" t="str">
        <f>HYPERLINK("https://drive.google.com/drive/folders/0BwQ57SNHxB3BeGVndk5nUS1tN3c","3930")</f>
        <v>3930</v>
      </c>
      <c r="L1014" s="82"/>
      <c r="M1014" s="46" t="s">
        <v>3998</v>
      </c>
      <c r="N1014" s="32"/>
      <c r="O1014" s="32"/>
      <c r="P1014" s="32"/>
      <c r="Q1014" s="32"/>
      <c r="R1014" s="32"/>
      <c r="S1014" s="32"/>
      <c r="T1014" s="34">
        <v>20</v>
      </c>
      <c r="U1014" s="34">
        <f t="shared" ref="U1014:U1021" si="16">E1014+T1014-2+2500</f>
        <v>2572</v>
      </c>
      <c r="V1014" s="36" t="str">
        <f t="shared" ref="V1014:V1021" si="17">LEFT(B1014, SEARCH("",B1014,2))</f>
        <v>39</v>
      </c>
      <c r="W1014" s="39">
        <f t="shared" ref="W1014:W1021" si="18">COUNTIF($V$5:$V$440,V1014)-1</f>
        <v>-1</v>
      </c>
      <c r="X1014" s="40"/>
      <c r="Y1014" s="40"/>
      <c r="Z1014" s="40"/>
      <c r="AA1014" s="46"/>
    </row>
    <row r="1015" spans="1:27" ht="18.75">
      <c r="A1015" s="17"/>
      <c r="B1015" s="20">
        <v>4140</v>
      </c>
      <c r="C1015" s="21" t="s">
        <v>683</v>
      </c>
      <c r="D1015" s="44" t="s">
        <v>730</v>
      </c>
      <c r="E1015" s="21">
        <v>54</v>
      </c>
      <c r="F1015" s="46" t="s">
        <v>731</v>
      </c>
      <c r="G1015" s="26" t="s">
        <v>78</v>
      </c>
      <c r="H1015" s="27"/>
      <c r="I1015" s="28"/>
      <c r="J1015" s="229" t="str">
        <f>HYPERLINK("https://drive.google.com/drive/folders/0BwQ57SNHxB3BUDhpMWJkS0dUd28","4140")</f>
        <v>4140</v>
      </c>
      <c r="K1015" s="49" t="str">
        <f>HYPERLINK("https://drive.google.com/drive/folders/0BwQ57SNHxB3BRHd1bXpsczNtaXM","4140")</f>
        <v>4140</v>
      </c>
      <c r="L1015" s="51"/>
      <c r="M1015" s="46" t="s">
        <v>3999</v>
      </c>
      <c r="N1015" s="32"/>
      <c r="O1015" s="32"/>
      <c r="P1015" s="32"/>
      <c r="Q1015" s="32"/>
      <c r="R1015" s="32"/>
      <c r="S1015" s="32"/>
      <c r="T1015" s="34">
        <v>15</v>
      </c>
      <c r="U1015" s="34">
        <f t="shared" si="16"/>
        <v>2567</v>
      </c>
      <c r="V1015" s="36" t="str">
        <f t="shared" si="17"/>
        <v>41</v>
      </c>
      <c r="W1015" s="39">
        <f t="shared" si="18"/>
        <v>-1</v>
      </c>
      <c r="X1015" s="40"/>
      <c r="Y1015" s="40"/>
      <c r="Z1015" s="40"/>
      <c r="AA1015" s="46"/>
    </row>
    <row r="1016" spans="1:27" ht="37.5">
      <c r="A1016" s="17"/>
      <c r="B1016" s="20">
        <v>4210</v>
      </c>
      <c r="C1016" s="21" t="s">
        <v>683</v>
      </c>
      <c r="D1016" s="44" t="s">
        <v>726</v>
      </c>
      <c r="E1016" s="21">
        <v>54</v>
      </c>
      <c r="F1016" s="46" t="s">
        <v>687</v>
      </c>
      <c r="G1016" s="26" t="s">
        <v>78</v>
      </c>
      <c r="H1016" s="27">
        <v>15000</v>
      </c>
      <c r="I1016" s="28"/>
      <c r="J1016" s="229" t="str">
        <f>HYPERLINK("https://drive.google.com/drive/folders/0BwQ57SNHxB3BNFJObHpuSzk3OUU","4210")</f>
        <v>4210</v>
      </c>
      <c r="K1016" s="92" t="str">
        <f>HYPERLINK("https://drive.google.com/drive/folders/0BwQ57SNHxB3BT18tOUM2TTZ0RFk","4210")</f>
        <v>4210</v>
      </c>
      <c r="L1016" s="127"/>
      <c r="M1016" s="46" t="s">
        <v>3986</v>
      </c>
      <c r="N1016" s="32"/>
      <c r="O1016" s="32"/>
      <c r="P1016" s="32"/>
      <c r="Q1016" s="32"/>
      <c r="R1016" s="32"/>
      <c r="S1016" s="32"/>
      <c r="T1016" s="34">
        <v>10</v>
      </c>
      <c r="U1016" s="34">
        <f t="shared" si="16"/>
        <v>2562</v>
      </c>
      <c r="V1016" s="36" t="str">
        <f t="shared" si="17"/>
        <v>42</v>
      </c>
      <c r="W1016" s="39">
        <f t="shared" si="18"/>
        <v>-1</v>
      </c>
      <c r="X1016" s="40"/>
      <c r="Y1016" s="40"/>
      <c r="Z1016" s="40"/>
      <c r="AA1016" s="46"/>
    </row>
    <row r="1017" spans="1:27" ht="18.75">
      <c r="A1017" s="17"/>
      <c r="B1017" s="20">
        <v>4210</v>
      </c>
      <c r="C1017" s="21" t="s">
        <v>683</v>
      </c>
      <c r="D1017" s="44" t="s">
        <v>727</v>
      </c>
      <c r="E1017" s="21">
        <v>54</v>
      </c>
      <c r="F1017" s="46" t="s">
        <v>728</v>
      </c>
      <c r="G1017" s="26" t="s">
        <v>78</v>
      </c>
      <c r="H1017" s="27">
        <v>500000</v>
      </c>
      <c r="I1017" s="28"/>
      <c r="J1017" s="229" t="str">
        <f>HYPERLINK("https://drive.google.com/drive/folders/0BwQ57SNHxB3BQ0lReWFWNGo0UTA","4210")</f>
        <v>4210</v>
      </c>
      <c r="K1017" s="49" t="str">
        <f>HYPERLINK("https://drive.google.com/drive/folders/0BwN2QqBc2z4Qfmtfdk5jMzM5Qml2c0t5YmJTblNUU1c4MEItN2tEWDV5MG1WQ0prdHBtWUk","4210")</f>
        <v>4210</v>
      </c>
      <c r="L1017" s="51"/>
      <c r="M1017" s="46" t="s">
        <v>3964</v>
      </c>
      <c r="N1017" s="32"/>
      <c r="O1017" s="32"/>
      <c r="P1017" s="32"/>
      <c r="Q1017" s="32"/>
      <c r="R1017" s="32"/>
      <c r="S1017" s="32"/>
      <c r="T1017" s="34">
        <v>10</v>
      </c>
      <c r="U1017" s="34">
        <f t="shared" si="16"/>
        <v>2562</v>
      </c>
      <c r="V1017" s="36" t="str">
        <f t="shared" si="17"/>
        <v>42</v>
      </c>
      <c r="W1017" s="39">
        <f t="shared" si="18"/>
        <v>-1</v>
      </c>
      <c r="X1017" s="40"/>
      <c r="Y1017" s="40"/>
      <c r="Z1017" s="40"/>
      <c r="AA1017" s="46"/>
    </row>
    <row r="1018" spans="1:27" ht="18.75">
      <c r="A1018" s="17"/>
      <c r="B1018" s="20">
        <v>4210</v>
      </c>
      <c r="C1018" s="21" t="s">
        <v>683</v>
      </c>
      <c r="D1018" s="44" t="s">
        <v>767</v>
      </c>
      <c r="E1018" s="21">
        <v>54</v>
      </c>
      <c r="F1018" s="46" t="s">
        <v>768</v>
      </c>
      <c r="G1018" s="26" t="s">
        <v>712</v>
      </c>
      <c r="H1018" s="27">
        <v>41730</v>
      </c>
      <c r="I1018" s="28"/>
      <c r="J1018" s="229" t="str">
        <f>HYPERLINK("https://drive.google.com/drive/folders/0BwQ57SNHxB3BTjF6Ulk0VV96dFE","4210")</f>
        <v>4210</v>
      </c>
      <c r="K1018" s="49" t="str">
        <f>HYPERLINK("https://drive.google.com/drive/folders/0BwN2QqBc2z4Qfmtfdk5jMzM5Qml2c0t5YmJTblNUU1c4MEItN2tEWDV5MG1WQ0prdHBtWUk","4210")</f>
        <v>4210</v>
      </c>
      <c r="L1018" s="51"/>
      <c r="M1018" s="46" t="s">
        <v>4000</v>
      </c>
      <c r="N1018" s="32"/>
      <c r="O1018" s="32"/>
      <c r="P1018" s="32"/>
      <c r="Q1018" s="32"/>
      <c r="R1018" s="32"/>
      <c r="S1018" s="32"/>
      <c r="T1018" s="83">
        <v>10</v>
      </c>
      <c r="U1018" s="83">
        <f t="shared" si="16"/>
        <v>2562</v>
      </c>
      <c r="V1018" s="36" t="str">
        <f t="shared" si="17"/>
        <v>42</v>
      </c>
      <c r="W1018" s="39">
        <f t="shared" si="18"/>
        <v>-1</v>
      </c>
      <c r="X1018" s="40"/>
      <c r="Y1018" s="40"/>
      <c r="Z1018" s="40"/>
      <c r="AA1018" s="46"/>
    </row>
    <row r="1019" spans="1:27" ht="56.25">
      <c r="A1019" s="17"/>
      <c r="B1019" s="20">
        <v>4210</v>
      </c>
      <c r="C1019" s="21" t="s">
        <v>683</v>
      </c>
      <c r="D1019" s="44" t="s">
        <v>770</v>
      </c>
      <c r="E1019" s="21">
        <v>54</v>
      </c>
      <c r="F1019" s="46" t="s">
        <v>771</v>
      </c>
      <c r="G1019" s="26" t="s">
        <v>712</v>
      </c>
      <c r="H1019" s="27">
        <v>48150</v>
      </c>
      <c r="I1019" s="28"/>
      <c r="J1019" s="229" t="str">
        <f>HYPERLINK("https://drive.google.com/drive/folders/0BwQ57SNHxB3BbW5wdXN6aFI1VTA","4210")</f>
        <v>4210</v>
      </c>
      <c r="K1019" s="49" t="str">
        <f>HYPERLINK("https://drive.google.com/drive/folders/0BwN2QqBc2z4Qfmtfdk5jMzM5Qml2c0t5YmJTblNUU1c4MEItN2tEWDV5MG1WQ0prdHBtWUk","4210")</f>
        <v>4210</v>
      </c>
      <c r="L1019" s="51"/>
      <c r="M1019" s="46" t="s">
        <v>4001</v>
      </c>
      <c r="N1019" s="32"/>
      <c r="O1019" s="32"/>
      <c r="P1019" s="32"/>
      <c r="Q1019" s="32"/>
      <c r="R1019" s="32"/>
      <c r="S1019" s="32"/>
      <c r="T1019" s="83">
        <v>10</v>
      </c>
      <c r="U1019" s="83">
        <f t="shared" si="16"/>
        <v>2562</v>
      </c>
      <c r="V1019" s="36" t="str">
        <f t="shared" si="17"/>
        <v>42</v>
      </c>
      <c r="W1019" s="39">
        <f t="shared" si="18"/>
        <v>-1</v>
      </c>
      <c r="X1019" s="40"/>
      <c r="Y1019" s="40"/>
      <c r="Z1019" s="40"/>
      <c r="AA1019" s="46"/>
    </row>
    <row r="1020" spans="1:27" ht="37.5">
      <c r="A1020" s="17"/>
      <c r="B1020" s="20">
        <v>4240</v>
      </c>
      <c r="C1020" s="21" t="s">
        <v>683</v>
      </c>
      <c r="D1020" s="44" t="s">
        <v>736</v>
      </c>
      <c r="E1020" s="21">
        <v>54</v>
      </c>
      <c r="F1020" s="46" t="s">
        <v>737</v>
      </c>
      <c r="G1020" s="26" t="s">
        <v>53</v>
      </c>
      <c r="H1020" s="27"/>
      <c r="I1020" s="28"/>
      <c r="J1020" s="229" t="str">
        <f>HYPERLINK("https://drive.google.com/drive/folders/0BwQ57SNHxB3BNk1wb0FuNjJZOHc","4240")</f>
        <v>4240</v>
      </c>
      <c r="K1020" s="49" t="str">
        <f>HYPERLINK("https://drive.google.com/drive/folders/0BwQ57SNHxB3BZ1ZzVm1EWkVlcnc","4240")</f>
        <v>4240</v>
      </c>
      <c r="L1020" s="51"/>
      <c r="M1020" s="46" t="s">
        <v>3986</v>
      </c>
      <c r="N1020" s="32"/>
      <c r="O1020" s="32"/>
      <c r="P1020" s="32"/>
      <c r="Q1020" s="32"/>
      <c r="R1020" s="32"/>
      <c r="S1020" s="32"/>
      <c r="T1020" s="83">
        <v>10</v>
      </c>
      <c r="U1020" s="83">
        <f t="shared" si="16"/>
        <v>2562</v>
      </c>
      <c r="V1020" s="36" t="str">
        <f t="shared" si="17"/>
        <v>42</v>
      </c>
      <c r="W1020" s="39">
        <f t="shared" si="18"/>
        <v>-1</v>
      </c>
      <c r="X1020" s="40"/>
      <c r="Y1020" s="40"/>
      <c r="Z1020" s="40"/>
      <c r="AA1020" s="46"/>
    </row>
    <row r="1021" spans="1:27" ht="37.5">
      <c r="A1021" s="17"/>
      <c r="B1021" s="20">
        <v>4460</v>
      </c>
      <c r="C1021" s="21" t="s">
        <v>683</v>
      </c>
      <c r="D1021" s="44" t="s">
        <v>719</v>
      </c>
      <c r="E1021" s="21">
        <v>54</v>
      </c>
      <c r="F1021" s="46" t="s">
        <v>720</v>
      </c>
      <c r="G1021" s="26" t="s">
        <v>78</v>
      </c>
      <c r="H1021" s="27">
        <v>175000</v>
      </c>
      <c r="I1021" s="28"/>
      <c r="J1021" s="229" t="str">
        <f>HYPERLINK("https://drive.google.com/drive/folders/0BwQ57SNHxB3BbUZSNndwRFUybGs","4460")</f>
        <v>4460</v>
      </c>
      <c r="K1021" s="49" t="str">
        <f>HYPERLINK("https://drive.google.com/drive/folders/0BwN2QqBc2z4QfmlKYlJFeEl3MzFrVnpLMm5WVWlvMThwdkxFUEV3dzZ3S0d3eWJGVXNHeE0","4440")</f>
        <v>4440</v>
      </c>
      <c r="L1021" s="51"/>
      <c r="M1021" s="46" t="s">
        <v>4002</v>
      </c>
      <c r="N1021" s="32"/>
      <c r="O1021" s="32"/>
      <c r="P1021" s="32"/>
      <c r="Q1021" s="32"/>
      <c r="R1021" s="32"/>
      <c r="S1021" s="32"/>
      <c r="T1021" s="34">
        <v>15</v>
      </c>
      <c r="U1021" s="34">
        <f t="shared" si="16"/>
        <v>2567</v>
      </c>
      <c r="V1021" s="29" t="str">
        <f t="shared" si="17"/>
        <v>44</v>
      </c>
      <c r="W1021" s="39">
        <f t="shared" si="18"/>
        <v>-1</v>
      </c>
      <c r="X1021" s="40"/>
      <c r="Y1021" s="40"/>
      <c r="Z1021" s="40"/>
      <c r="AA1021" s="46"/>
    </row>
    <row r="1022" spans="1:27" ht="18.75">
      <c r="A1022" s="17"/>
      <c r="B1022" s="20"/>
      <c r="C1022" s="21"/>
      <c r="D1022" s="44"/>
      <c r="E1022" s="21"/>
      <c r="F1022" s="46"/>
      <c r="G1022" s="26"/>
      <c r="H1022" s="27"/>
      <c r="I1022" s="28"/>
      <c r="J1022" s="229"/>
      <c r="K1022" s="137"/>
      <c r="L1022" s="138"/>
      <c r="M1022" s="46"/>
      <c r="N1022" s="32"/>
      <c r="O1022" s="32"/>
      <c r="P1022" s="32"/>
      <c r="Q1022" s="32"/>
      <c r="R1022" s="32"/>
      <c r="S1022" s="32"/>
      <c r="T1022" s="83"/>
      <c r="U1022" s="34" t="e">
        <v>#REF!</v>
      </c>
      <c r="V1022" s="36" t="e">
        <v>#REF!</v>
      </c>
      <c r="W1022" s="39"/>
      <c r="X1022" s="40"/>
      <c r="Y1022" s="40"/>
      <c r="Z1022" s="40"/>
      <c r="AA1022" s="46"/>
    </row>
    <row r="1023" spans="1:27" ht="18.75">
      <c r="A1023" s="17"/>
      <c r="B1023" s="20">
        <v>8415</v>
      </c>
      <c r="C1023" s="21" t="s">
        <v>683</v>
      </c>
      <c r="D1023" s="44" t="s">
        <v>743</v>
      </c>
      <c r="E1023" s="21">
        <v>54</v>
      </c>
      <c r="F1023" s="74" t="s">
        <v>741</v>
      </c>
      <c r="G1023" s="26" t="s">
        <v>53</v>
      </c>
      <c r="H1023" s="27">
        <v>120000</v>
      </c>
      <c r="I1023" s="28"/>
      <c r="J1023" s="229" t="str">
        <f>HYPERLINK("https://drive.google.com/drive/folders/0BwQ57SNHxB3BdVl3azZDRURmRjQ","8415")</f>
        <v>8415</v>
      </c>
      <c r="K1023" s="137" t="str">
        <f>HYPERLINK("https://drive.google.com/drive/folders/0BwQ57SNHxB3BQ0RQZ3ZSNnczWnM","8415")</f>
        <v>8415</v>
      </c>
      <c r="L1023" s="138"/>
      <c r="M1023" s="46" t="s">
        <v>742</v>
      </c>
      <c r="N1023" s="32"/>
      <c r="O1023" s="32"/>
      <c r="P1023" s="32"/>
      <c r="Q1023" s="32"/>
      <c r="R1023" s="32"/>
      <c r="S1023" s="32"/>
      <c r="T1023" s="34">
        <v>15</v>
      </c>
      <c r="U1023" s="34">
        <f>E1023+T1023-2+2500</f>
        <v>2567</v>
      </c>
      <c r="V1023" s="36" t="str">
        <f>LEFT(B1023, SEARCH("",B1023,2))</f>
        <v>84</v>
      </c>
      <c r="W1023" s="39">
        <f>COUNTIF($V$5:$V$440,V1023)-1</f>
        <v>-1</v>
      </c>
      <c r="X1023" s="40"/>
      <c r="Y1023" s="40"/>
      <c r="Z1023" s="40"/>
      <c r="AA1023" s="46"/>
    </row>
    <row r="1024" spans="1:27" ht="18.75">
      <c r="A1024" s="17"/>
      <c r="B1024" s="20">
        <v>8415</v>
      </c>
      <c r="C1024" s="21" t="s">
        <v>683</v>
      </c>
      <c r="D1024" s="44" t="s">
        <v>744</v>
      </c>
      <c r="E1024" s="21">
        <v>54</v>
      </c>
      <c r="F1024" s="74" t="s">
        <v>745</v>
      </c>
      <c r="G1024" s="26" t="s">
        <v>53</v>
      </c>
      <c r="H1024" s="27"/>
      <c r="I1024" s="28"/>
      <c r="J1024" s="229" t="str">
        <f>HYPERLINK("https://drive.google.com/drive/folders/0BwQ57SNHxB3BZHNXYlZrTGJ3V3M","8415")</f>
        <v>8415</v>
      </c>
      <c r="K1024" s="137" t="str">
        <f>HYPERLINK("https://drive.google.com/drive/folders/0BwQ57SNHxB3BQ0RQZ3ZSNnczWnM","8415")</f>
        <v>8415</v>
      </c>
      <c r="L1024" s="138"/>
      <c r="M1024" s="46" t="s">
        <v>746</v>
      </c>
      <c r="N1024" s="32"/>
      <c r="O1024" s="32"/>
      <c r="P1024" s="32"/>
      <c r="Q1024" s="32"/>
      <c r="R1024" s="32"/>
      <c r="S1024" s="32"/>
      <c r="T1024" s="34">
        <v>15</v>
      </c>
      <c r="U1024" s="34">
        <f>E1024+T1024-2+2500</f>
        <v>2567</v>
      </c>
      <c r="V1024" s="36" t="str">
        <f>LEFT(B1024, SEARCH("",B1024,2))</f>
        <v>84</v>
      </c>
      <c r="W1024" s="39">
        <f>COUNTIF($V$5:$V$440,V1024)-1</f>
        <v>-1</v>
      </c>
      <c r="X1024" s="40"/>
      <c r="Y1024" s="40"/>
      <c r="Z1024" s="40"/>
      <c r="AA1024" s="46"/>
    </row>
    <row r="1025" spans="1:27" ht="18.75">
      <c r="A1025" s="121"/>
      <c r="B1025" s="20" t="str">
        <f>LEFT(D1025, SEARCH("",D1025,4))</f>
        <v>6110</v>
      </c>
      <c r="C1025" s="21" t="s">
        <v>37</v>
      </c>
      <c r="D1025" s="63" t="s">
        <v>4003</v>
      </c>
      <c r="E1025" s="21">
        <v>55</v>
      </c>
      <c r="F1025" s="46" t="s">
        <v>4004</v>
      </c>
      <c r="G1025" s="27"/>
      <c r="H1025" s="47"/>
      <c r="I1025" s="47"/>
      <c r="J1025" s="229" t="str">
        <f>HYPERLINK("https://drive.google.com/drive/#folders/0B2rLR4BADrBtZ1dDSnBReWNzMVE/0B2rLR4BADrBtNVFpNDJjRFBhNTQ/0B2rLR4BADrBtSml6RWEzUWE0eVk/0B2rLR4BADrBtfkJCbktQYXJUS1czR21oNVpQMktscElMWFJBVzc4WUVsQU1qRHU2TWNGQnc","6110")</f>
        <v>6110</v>
      </c>
      <c r="K1025" s="28"/>
      <c r="L1025" s="28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  <c r="AA1025" s="46"/>
    </row>
    <row r="1026" spans="1:27" ht="18.75">
      <c r="A1026" s="121"/>
      <c r="B1026" s="20" t="str">
        <f>LEFT(D1026, SEARCH("",D1026,4))</f>
        <v>6840</v>
      </c>
      <c r="C1026" s="21" t="s">
        <v>191</v>
      </c>
      <c r="D1026" s="63" t="s">
        <v>4005</v>
      </c>
      <c r="E1026" s="21">
        <v>55</v>
      </c>
      <c r="F1026" s="46" t="s">
        <v>4006</v>
      </c>
      <c r="G1026" s="27"/>
      <c r="H1026" s="47"/>
      <c r="I1026" s="47"/>
      <c r="J1026" s="229" t="str">
        <f>HYPERLINK("https://drive.google.com/drive/#folders/0B2rLR4BADrBtZ1dDSnBReWNzMVE/0B2rLR4BADrBtNVFpNDJjRFBhNTQ/0B2rLR4BADrBtSml6RWEzUWE0eVk/0B2rLR4BADrBtfkwweVl2VHdMVGM5QTF2aXh1cW4xUG5jVGRFWHROWXRPWmlNSW10NmVPRDA","6840")</f>
        <v>6840</v>
      </c>
      <c r="K1026" s="28"/>
      <c r="L1026" s="28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  <c r="AA1026" s="46"/>
    </row>
    <row r="1027" spans="1:27" ht="37.5">
      <c r="A1027" s="50"/>
      <c r="B1027" s="20">
        <v>3820</v>
      </c>
      <c r="C1027" s="21" t="s">
        <v>372</v>
      </c>
      <c r="D1027" s="44" t="s">
        <v>813</v>
      </c>
      <c r="E1027" s="21">
        <v>55</v>
      </c>
      <c r="F1027" s="46" t="s">
        <v>376</v>
      </c>
      <c r="G1027" s="26" t="s">
        <v>78</v>
      </c>
      <c r="H1027" s="27">
        <v>580000</v>
      </c>
      <c r="I1027" s="28"/>
      <c r="J1027" s="229" t="str">
        <f>HYPERLINK("https://drive.google.com/drive/folders/0BwQ57SNHxB3BZ3RWTDB1blB1elU","3820")</f>
        <v>3820</v>
      </c>
      <c r="K1027" s="49" t="str">
        <f>HYPERLINK("https://drive.google.com/drive/folders/0BwQ57SNHxB3BeURHU09mWUJ0NEk","3820")</f>
        <v>3820</v>
      </c>
      <c r="L1027" s="88" t="s">
        <v>4007</v>
      </c>
      <c r="M1027" s="46" t="s">
        <v>3965</v>
      </c>
      <c r="N1027" s="32"/>
      <c r="O1027" s="32"/>
      <c r="P1027" s="32"/>
      <c r="Q1027" s="32"/>
      <c r="R1027" s="32"/>
      <c r="S1027" s="32"/>
      <c r="T1027" s="34">
        <v>20</v>
      </c>
      <c r="U1027" s="34">
        <f>E1027+T1027-2+2500</f>
        <v>2573</v>
      </c>
      <c r="V1027" s="36" t="str">
        <f>LEFT(B1027, SEARCH("",B1027,2))</f>
        <v>38</v>
      </c>
      <c r="W1027" s="39">
        <f>COUNTIF($V$5:$V$440,V1027)-1</f>
        <v>-1</v>
      </c>
      <c r="X1027" s="40" t="s">
        <v>384</v>
      </c>
      <c r="Y1027" s="40"/>
      <c r="Z1027" s="40"/>
      <c r="AA1027" s="46"/>
    </row>
    <row r="1028" spans="1:27" ht="37.5">
      <c r="A1028" s="17"/>
      <c r="B1028" s="20">
        <v>4210</v>
      </c>
      <c r="C1028" s="21" t="s">
        <v>683</v>
      </c>
      <c r="D1028" s="44" t="s">
        <v>759</v>
      </c>
      <c r="E1028" s="21">
        <v>55</v>
      </c>
      <c r="F1028" s="46" t="s">
        <v>699</v>
      </c>
      <c r="G1028" s="26" t="s">
        <v>28</v>
      </c>
      <c r="H1028" s="27">
        <v>3500000</v>
      </c>
      <c r="I1028" s="28"/>
      <c r="J1028" s="229" t="str">
        <f>HYPERLINK("https://drive.google.com/drive/folders/0BwQ57SNHxB3BejNFeVNNVHJ1aEE","4210")</f>
        <v>4210</v>
      </c>
      <c r="K1028" s="49" t="str">
        <f>HYPERLINK("https://drive.google.com/drive/folders/0BwN2QqBc2z4Qfmtfdk5jMzM5Qml2c0t5YmJTblNUU1c4MEItN2tEWDV5MG1WQ0prdHBtWUk","4210")</f>
        <v>4210</v>
      </c>
      <c r="L1028" s="51"/>
      <c r="M1028" s="46" t="s">
        <v>3986</v>
      </c>
      <c r="N1028" s="32"/>
      <c r="O1028" s="32"/>
      <c r="P1028" s="32"/>
      <c r="Q1028" s="32"/>
      <c r="R1028" s="32"/>
      <c r="S1028" s="32"/>
      <c r="T1028" s="83">
        <v>10</v>
      </c>
      <c r="U1028" s="83">
        <f>E1028+T1028-2+2500</f>
        <v>2563</v>
      </c>
      <c r="V1028" s="36" t="str">
        <f>LEFT(B1028, SEARCH("",B1028,2))</f>
        <v>42</v>
      </c>
      <c r="W1028" s="39">
        <f>COUNTIF($V$5:$V$440,V1028)-1</f>
        <v>-1</v>
      </c>
      <c r="X1028" s="40"/>
      <c r="Y1028" s="40"/>
      <c r="Z1028" s="40"/>
      <c r="AA1028" s="46"/>
    </row>
    <row r="1029" spans="1:27" ht="37.5">
      <c r="A1029" s="17"/>
      <c r="B1029" s="20">
        <v>6115</v>
      </c>
      <c r="C1029" s="21" t="s">
        <v>37</v>
      </c>
      <c r="D1029" s="44" t="s">
        <v>786</v>
      </c>
      <c r="E1029" s="21">
        <v>55</v>
      </c>
      <c r="F1029" s="46" t="s">
        <v>787</v>
      </c>
      <c r="G1029" s="26" t="s">
        <v>78</v>
      </c>
      <c r="H1029" s="27">
        <v>63000</v>
      </c>
      <c r="I1029" s="28"/>
      <c r="J1029" s="229" t="str">
        <f>HYPERLINK("https://drive.google.com/drive/folders/0BwQ57SNHxB3BX0pneTZwa2IxVm8","6115")</f>
        <v>6115</v>
      </c>
      <c r="K1029" s="137" t="str">
        <f>HYPERLINK("https://drive.google.com/drive/folders/0BwN2QqBc2z4QfjhLT3VXcmMxTVZyVWNMWTc0MkJJMlU0UnB3eTljcl95NlNudVl0U21IdkU","6115")</f>
        <v>6115</v>
      </c>
      <c r="L1029" s="138"/>
      <c r="M1029" s="46" t="s">
        <v>4008</v>
      </c>
      <c r="N1029" s="32"/>
      <c r="O1029" s="32"/>
      <c r="P1029" s="32"/>
      <c r="Q1029" s="32"/>
      <c r="R1029" s="32"/>
      <c r="S1029" s="32"/>
      <c r="T1029" s="34">
        <v>15</v>
      </c>
      <c r="U1029" s="34">
        <f>E1029+T1029-2+2500</f>
        <v>2568</v>
      </c>
      <c r="V1029" s="36" t="str">
        <f>LEFT(B1029, SEARCH("",B1029,2))</f>
        <v>61</v>
      </c>
      <c r="W1029" s="39">
        <f>COUNTIF($V$5:$V$440,V1029)-1</f>
        <v>-1</v>
      </c>
      <c r="X1029" s="40"/>
      <c r="Y1029" s="40"/>
      <c r="Z1029" s="40"/>
      <c r="AA1029" s="46"/>
    </row>
    <row r="1030" spans="1:27" ht="18.75">
      <c r="A1030" s="17"/>
      <c r="B1030" s="20">
        <v>6130</v>
      </c>
      <c r="C1030" s="21" t="s">
        <v>37</v>
      </c>
      <c r="D1030" s="44" t="s">
        <v>793</v>
      </c>
      <c r="E1030" s="21">
        <v>55</v>
      </c>
      <c r="F1030" s="86" t="s">
        <v>794</v>
      </c>
      <c r="G1030" s="26" t="s">
        <v>78</v>
      </c>
      <c r="H1030" s="27"/>
      <c r="I1030" s="28"/>
      <c r="J1030" s="229" t="str">
        <f>HYPERLINK("https://drive.google.com/drive/folders/0BwQ57SNHxB3BYmRhUU14THNTakE","6130")</f>
        <v>6130</v>
      </c>
      <c r="K1030" s="137" t="str">
        <f>HYPERLINK("https://drive.google.com/drive/folders/0BwQ57SNHxB3BeU9ELXF2RTVjQ28","6130")</f>
        <v>6130</v>
      </c>
      <c r="L1030" s="138"/>
      <c r="M1030" s="74" t="s">
        <v>4009</v>
      </c>
      <c r="N1030" s="32"/>
      <c r="O1030" s="32"/>
      <c r="P1030" s="32"/>
      <c r="Q1030" s="32"/>
      <c r="R1030" s="32"/>
      <c r="S1030" s="32"/>
      <c r="T1030" s="34">
        <v>15</v>
      </c>
      <c r="U1030" s="34">
        <f>E1030+T1030-2+2500</f>
        <v>2568</v>
      </c>
      <c r="V1030" s="36" t="str">
        <f>LEFT(B1030, SEARCH("",B1030,2))</f>
        <v>61</v>
      </c>
      <c r="W1030" s="39">
        <f>COUNTIF($V$5:$V$440,V1030)-1</f>
        <v>-1</v>
      </c>
      <c r="X1030" s="40"/>
      <c r="Y1030" s="40"/>
      <c r="Z1030" s="40"/>
      <c r="AA1030" s="46"/>
    </row>
    <row r="1031" spans="1:27" ht="18.75">
      <c r="A1031" s="121"/>
      <c r="B1031" s="20">
        <v>6840</v>
      </c>
      <c r="C1031" s="21" t="s">
        <v>191</v>
      </c>
      <c r="D1031" s="63" t="s">
        <v>855</v>
      </c>
      <c r="E1031" s="21">
        <v>56</v>
      </c>
      <c r="F1031" s="46" t="s">
        <v>856</v>
      </c>
      <c r="G1031" s="27"/>
      <c r="H1031" s="47"/>
      <c r="I1031" s="47"/>
      <c r="J1031" s="229" t="str">
        <f>HYPERLINK("https://drive.google.com/drive/folders/0B2vBTVEfSzItfnJfOHU1WmRXUTI3WVo0REF0WERHYW1kczBPUUwwczBKWXZkNTZPQ2llMzA","6840")</f>
        <v>6840</v>
      </c>
      <c r="K1031" s="28"/>
      <c r="L1031" s="28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  <c r="AA1031" s="46"/>
    </row>
    <row r="1032" spans="1:27" ht="37.5">
      <c r="A1032" s="17"/>
      <c r="B1032" s="20">
        <v>6840</v>
      </c>
      <c r="C1032" s="21" t="s">
        <v>191</v>
      </c>
      <c r="D1032" s="44" t="s">
        <v>855</v>
      </c>
      <c r="E1032" s="21">
        <v>56</v>
      </c>
      <c r="F1032" s="46" t="s">
        <v>856</v>
      </c>
      <c r="G1032" s="26" t="s">
        <v>1263</v>
      </c>
      <c r="H1032" s="27">
        <v>750</v>
      </c>
      <c r="I1032" s="28"/>
      <c r="J1032" s="229" t="str">
        <f>HYPERLINK("https://drive.google.com/drive/folders/0B2vBTVEfSzItfnJfOHU1WmRXUTI3WVo0REF0WERHYW1kczBPUUwwczBKWXZkNTZPQ2llMzA","6840")</f>
        <v>6840</v>
      </c>
      <c r="K1032" s="137" t="str">
        <f>HYPERLINK("https://drive.google.com/drive/folders/0BwQ57SNHxB3BbFU1ejZzQmxkVjg","6840")</f>
        <v>6840</v>
      </c>
      <c r="L1032" s="138"/>
      <c r="M1032" s="46" t="s">
        <v>4010</v>
      </c>
      <c r="N1032" s="32"/>
      <c r="O1032" s="32"/>
      <c r="P1032" s="32"/>
      <c r="Q1032" s="32"/>
      <c r="R1032" s="32"/>
      <c r="S1032" s="32"/>
      <c r="T1032" s="83">
        <f>T1031</f>
        <v>0</v>
      </c>
      <c r="U1032" s="83">
        <f>E1032+T1032-2+2500</f>
        <v>2554</v>
      </c>
      <c r="V1032" s="36" t="str">
        <f>LEFT(B1032, SEARCH("",B1032,2))</f>
        <v>68</v>
      </c>
      <c r="W1032" s="39">
        <f>COUNTIF($V$5:$V$440,V1032)-1</f>
        <v>-1</v>
      </c>
      <c r="X1032" s="40"/>
      <c r="Y1032" s="40"/>
      <c r="Z1032" s="40"/>
      <c r="AA1032" s="46"/>
    </row>
    <row r="1033" spans="1:27" ht="18.75">
      <c r="A1033" s="121"/>
      <c r="B1033" s="20">
        <v>4210</v>
      </c>
      <c r="C1033" s="21" t="s">
        <v>683</v>
      </c>
      <c r="D1033" s="63" t="s">
        <v>717</v>
      </c>
      <c r="E1033" s="21">
        <v>57</v>
      </c>
      <c r="F1033" s="46" t="s">
        <v>697</v>
      </c>
      <c r="G1033" s="27" t="s">
        <v>28</v>
      </c>
      <c r="H1033" s="47">
        <v>12500000</v>
      </c>
      <c r="I1033" s="47"/>
      <c r="J1033" s="229" t="str">
        <f>HYPERLINK("https://drive.google.com/drive/folders/0BwQ57SNHxB3BdVFYcnNYVHVIVWc","4210")</f>
        <v>4210</v>
      </c>
      <c r="K1033" s="28"/>
      <c r="L1033" s="28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  <c r="AA1033" s="46"/>
    </row>
    <row r="1034" spans="1:27" ht="18.75">
      <c r="A1034" s="121"/>
      <c r="B1034" s="20">
        <v>4210</v>
      </c>
      <c r="C1034" s="21"/>
      <c r="D1034" s="63" t="s">
        <v>4011</v>
      </c>
      <c r="E1034" s="21">
        <v>57</v>
      </c>
      <c r="F1034" s="46" t="s">
        <v>4012</v>
      </c>
      <c r="G1034" s="27"/>
      <c r="H1034" s="47"/>
      <c r="I1034" s="47"/>
      <c r="J1034" s="229"/>
      <c r="K1034" s="28"/>
      <c r="L1034" s="28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  <c r="AA1034" s="46"/>
    </row>
    <row r="1035" spans="1:27" ht="18.75">
      <c r="A1035" s="121"/>
      <c r="B1035" s="20">
        <v>4320</v>
      </c>
      <c r="C1035" s="21" t="s">
        <v>256</v>
      </c>
      <c r="D1035" s="63" t="s">
        <v>777</v>
      </c>
      <c r="E1035" s="21">
        <v>57</v>
      </c>
      <c r="F1035" s="46" t="s">
        <v>778</v>
      </c>
      <c r="G1035" s="27" t="s">
        <v>78</v>
      </c>
      <c r="H1035" s="47">
        <v>15000</v>
      </c>
      <c r="I1035" s="47"/>
      <c r="J1035" s="229" t="str">
        <f>HYPERLINK("https://drive.google.com/drive/folders/0BwQ57SNHxB3BX0Q3c0xNcDcybGs","4320")</f>
        <v>4320</v>
      </c>
      <c r="K1035" s="28"/>
      <c r="L1035" s="28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  <c r="AA1035" s="46"/>
    </row>
    <row r="1036" spans="1:27" ht="18.75">
      <c r="A1036" s="121"/>
      <c r="B1036" s="20" t="str">
        <f>LEFT(D1036, SEARCH("",D1036,4))</f>
        <v>6675</v>
      </c>
      <c r="C1036" s="21" t="s">
        <v>191</v>
      </c>
      <c r="D1036" s="63" t="s">
        <v>4013</v>
      </c>
      <c r="E1036" s="21">
        <v>57</v>
      </c>
      <c r="F1036" s="46" t="s">
        <v>4014</v>
      </c>
      <c r="G1036" s="27"/>
      <c r="H1036" s="47"/>
      <c r="I1036" s="47"/>
      <c r="J1036" s="229" t="e">
        <f>HYPERLINK("https://drive.google.com/drive/#folders/0B2rLR4BADrBtZ1dDSnBReWNzMVE/0B2rLR4BADrBtNVFpNDJjRFBhNTQ/0B2rLR4BADrBtSml6RWEzUWE0eVk/0B2rLR4BADrBtfk9iLW1qV2IzMDdYU2VtSjJCVy1wR0NzQzVsejJBRk1DRUpmSkkxNTRQR1U/0B2rLR4BADrBtfjhhc08zaTViaDJmZ1htZHFWaF9ud1lSenJiMGJnb0"&amp;"lTWTdUZ2JnUE1kODg","6675")</f>
        <v>#VALUE!</v>
      </c>
      <c r="K1036" s="28"/>
      <c r="L1036" s="28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  <c r="AA1036" s="46"/>
    </row>
    <row r="1037" spans="1:27" ht="37.5">
      <c r="A1037" s="17"/>
      <c r="B1037" s="20">
        <v>2320</v>
      </c>
      <c r="C1037" s="21" t="s">
        <v>63</v>
      </c>
      <c r="D1037" s="44" t="s">
        <v>845</v>
      </c>
      <c r="E1037" s="21">
        <v>57</v>
      </c>
      <c r="F1037" s="46" t="s">
        <v>145</v>
      </c>
      <c r="G1037" s="26" t="s">
        <v>28</v>
      </c>
      <c r="H1037" s="27">
        <v>900000</v>
      </c>
      <c r="I1037" s="28"/>
      <c r="J1037" s="229" t="str">
        <f>HYPERLINK("https://drive.google.com/drive/folders/0B2vBTVEfSzItcnF3TWRvekRGLUU","2320")</f>
        <v>2320</v>
      </c>
      <c r="K1037" s="49"/>
      <c r="L1037" s="51"/>
      <c r="M1037" s="46" t="s">
        <v>4015</v>
      </c>
      <c r="N1037" s="32"/>
      <c r="O1037" s="32"/>
      <c r="P1037" s="32"/>
      <c r="Q1037" s="32"/>
      <c r="R1037" s="32"/>
      <c r="S1037" s="32"/>
      <c r="T1037" s="34"/>
      <c r="U1037" s="34">
        <f>E1037+T1037-2+2500</f>
        <v>2555</v>
      </c>
      <c r="V1037" s="36" t="str">
        <f>LEFT(B1037, SEARCH("",B1037,2))</f>
        <v>23</v>
      </c>
      <c r="W1037" s="39">
        <f>COUNTIF($V$5:$V$440,V1037)-1</f>
        <v>-1</v>
      </c>
      <c r="X1037" s="40"/>
      <c r="Y1037" s="40"/>
      <c r="Z1037" s="40"/>
      <c r="AA1037" s="46"/>
    </row>
    <row r="1038" spans="1:27" ht="18.75">
      <c r="A1038" s="17"/>
      <c r="B1038" s="20">
        <v>3805</v>
      </c>
      <c r="C1038" s="21" t="s">
        <v>63</v>
      </c>
      <c r="D1038" s="44" t="s">
        <v>832</v>
      </c>
      <c r="E1038" s="21">
        <v>57</v>
      </c>
      <c r="F1038" s="46" t="s">
        <v>422</v>
      </c>
      <c r="G1038" s="26" t="s">
        <v>28</v>
      </c>
      <c r="H1038" s="27">
        <v>3800000</v>
      </c>
      <c r="I1038" s="28"/>
      <c r="J1038" s="229" t="str">
        <f>HYPERLINK("https://drive.google.com/drive/folders/0BwQ57SNHxB3BY2hfWWJpYnRQbTg","3805")</f>
        <v>3805</v>
      </c>
      <c r="K1038" s="49" t="str">
        <f>HYPERLINK("https://drive.google.com/drive/folders/0BwQ57SNHxB3BcU81M201Vm9ZdkU","3805")</f>
        <v>3805</v>
      </c>
      <c r="L1038" s="51"/>
      <c r="M1038" s="46" t="s">
        <v>3963</v>
      </c>
      <c r="N1038" s="32"/>
      <c r="O1038" s="32"/>
      <c r="P1038" s="32"/>
      <c r="Q1038" s="32"/>
      <c r="R1038" s="32"/>
      <c r="S1038" s="32"/>
      <c r="T1038" s="34">
        <v>20</v>
      </c>
      <c r="U1038" s="34">
        <f>E1038+T1038-2+2500</f>
        <v>2575</v>
      </c>
      <c r="V1038" s="36" t="str">
        <f>LEFT(B1038, SEARCH("",B1038,2))</f>
        <v>38</v>
      </c>
      <c r="W1038" s="39">
        <f>COUNTIF($V$5:$V$440,V1038)-1</f>
        <v>-1</v>
      </c>
      <c r="X1038" s="40"/>
      <c r="Y1038" s="40"/>
      <c r="Z1038" s="40"/>
      <c r="AA1038" s="46"/>
    </row>
    <row r="1039" spans="1:27" ht="37.5">
      <c r="A1039" s="17"/>
      <c r="B1039" s="20">
        <v>4210</v>
      </c>
      <c r="C1039" s="21" t="s">
        <v>683</v>
      </c>
      <c r="D1039" s="44" t="s">
        <v>717</v>
      </c>
      <c r="E1039" s="21">
        <v>57</v>
      </c>
      <c r="F1039" s="46" t="s">
        <v>697</v>
      </c>
      <c r="G1039" s="26" t="s">
        <v>28</v>
      </c>
      <c r="H1039" s="27">
        <v>12500000</v>
      </c>
      <c r="I1039" s="28"/>
      <c r="J1039" s="229" t="str">
        <f>HYPERLINK("https://drive.google.com/drive/folders/0BwQ57SNHxB3BdVFYcnNYVHVIVWc","4210")</f>
        <v>4210</v>
      </c>
      <c r="K1039" s="49" t="str">
        <f>HYPERLINK("https://drive.google.com/drive/folders/0BwN2QqBc2z4Qfmtfdk5jMzM5Qml2c0t5YmJTblNUU1c4MEItN2tEWDV5MG1WQ0prdHBtWUk","4210")</f>
        <v>4210</v>
      </c>
      <c r="L1039" s="51"/>
      <c r="M1039" s="46" t="s">
        <v>4016</v>
      </c>
      <c r="N1039" s="32"/>
      <c r="O1039" s="32"/>
      <c r="P1039" s="32"/>
      <c r="Q1039" s="32"/>
      <c r="R1039" s="32"/>
      <c r="S1039" s="32"/>
      <c r="T1039" s="83">
        <v>10</v>
      </c>
      <c r="U1039" s="83">
        <f>E1039+T1039-2+2500</f>
        <v>2565</v>
      </c>
      <c r="V1039" s="36" t="str">
        <f>LEFT(B1039, SEARCH("",B1039,2))</f>
        <v>42</v>
      </c>
      <c r="W1039" s="39">
        <f>COUNTIF($V$5:$V$440,V1039)-1</f>
        <v>-1</v>
      </c>
      <c r="X1039" s="40"/>
      <c r="Y1039" s="40"/>
      <c r="Z1039" s="40"/>
      <c r="AA1039" s="46"/>
    </row>
    <row r="1040" spans="1:27" ht="37.5">
      <c r="A1040" s="17"/>
      <c r="B1040" s="20">
        <v>4210</v>
      </c>
      <c r="C1040" s="21" t="s">
        <v>683</v>
      </c>
      <c r="D1040" s="44" t="s">
        <v>761</v>
      </c>
      <c r="E1040" s="21">
        <v>57</v>
      </c>
      <c r="F1040" s="46" t="s">
        <v>762</v>
      </c>
      <c r="G1040" s="26" t="s">
        <v>704</v>
      </c>
      <c r="H1040" s="27">
        <v>2000000</v>
      </c>
      <c r="I1040" s="28"/>
      <c r="J1040" s="229" t="str">
        <f>HYPERLINK("https://drive.google.com/drive/folders/0BwQ57SNHxB3BclU4ZjdadnNiMU0","4210")</f>
        <v>4210</v>
      </c>
      <c r="K1040" s="49" t="str">
        <f>HYPERLINK("https://drive.google.com/drive/folders/0BwN2QqBc2z4Qfmtfdk5jMzM5Qml2c0t5YmJTblNUU1c4MEItN2tEWDV5MG1WQ0prdHBtWUk","4210")</f>
        <v>4210</v>
      </c>
      <c r="L1040" s="51"/>
      <c r="M1040" s="46" t="s">
        <v>3986</v>
      </c>
      <c r="N1040" s="32"/>
      <c r="O1040" s="32"/>
      <c r="P1040" s="32"/>
      <c r="Q1040" s="32"/>
      <c r="R1040" s="32"/>
      <c r="S1040" s="32"/>
      <c r="T1040" s="83">
        <v>10</v>
      </c>
      <c r="U1040" s="83">
        <f>E1040+T1040-2+2500</f>
        <v>2565</v>
      </c>
      <c r="V1040" s="36" t="str">
        <f>LEFT(B1040, SEARCH("",B1040,2))</f>
        <v>42</v>
      </c>
      <c r="W1040" s="39">
        <f>COUNTIF($V$5:$V$440,V1040)-1</f>
        <v>-1</v>
      </c>
      <c r="X1040" s="40"/>
      <c r="Y1040" s="40"/>
      <c r="Z1040" s="40"/>
      <c r="AA1040" s="46"/>
    </row>
    <row r="1041" spans="1:27" ht="18.75">
      <c r="A1041" s="17"/>
      <c r="B1041" s="20">
        <v>4320</v>
      </c>
      <c r="C1041" s="21" t="s">
        <v>256</v>
      </c>
      <c r="D1041" s="44" t="s">
        <v>777</v>
      </c>
      <c r="E1041" s="21">
        <v>57</v>
      </c>
      <c r="F1041" s="46" t="s">
        <v>778</v>
      </c>
      <c r="G1041" s="26" t="s">
        <v>78</v>
      </c>
      <c r="H1041" s="27">
        <v>15000</v>
      </c>
      <c r="I1041" s="28"/>
      <c r="J1041" s="229" t="str">
        <f>HYPERLINK("https://drive.google.com/drive/folders/0BwQ57SNHxB3BX0Q3c0xNcDcybGs","4320")</f>
        <v>4320</v>
      </c>
      <c r="K1041" s="49" t="str">
        <f>HYPERLINK("https://drive.google.com/drive/folders/0BwN2QqBc2z4QfjNIWThUWGJ3MDdiU2x4V1ZhdFFVazNTc0I1aVByYkVXQTFldkk5VDFkRWM","4320")</f>
        <v>4320</v>
      </c>
      <c r="L1041" s="51"/>
      <c r="M1041" s="46" t="s">
        <v>4017</v>
      </c>
      <c r="N1041" s="32"/>
      <c r="O1041" s="32"/>
      <c r="P1041" s="32"/>
      <c r="Q1041" s="32"/>
      <c r="R1041" s="32"/>
      <c r="S1041" s="32"/>
      <c r="T1041" s="34">
        <v>15</v>
      </c>
      <c r="U1041" s="34">
        <f>E1041+T1041-2+2500</f>
        <v>2570</v>
      </c>
      <c r="V1041" s="36" t="str">
        <f>LEFT(B1041, SEARCH("",B1041,2))</f>
        <v>43</v>
      </c>
      <c r="W1041" s="39">
        <f>COUNTIF($V$5:$V$440,V1041)-1</f>
        <v>-1</v>
      </c>
      <c r="X1041" s="40"/>
      <c r="Y1041" s="40"/>
      <c r="Z1041" s="40"/>
      <c r="AA1041" s="46"/>
    </row>
    <row r="1042" spans="1:27" ht="18.75">
      <c r="A1042" s="121"/>
      <c r="B1042" s="20">
        <v>2320</v>
      </c>
      <c r="C1042" s="21" t="s">
        <v>37</v>
      </c>
      <c r="D1042" s="63" t="s">
        <v>801</v>
      </c>
      <c r="E1042" s="21">
        <v>58</v>
      </c>
      <c r="F1042" s="46" t="s">
        <v>41</v>
      </c>
      <c r="G1042" s="27" t="s">
        <v>28</v>
      </c>
      <c r="H1042" s="47">
        <v>3500000</v>
      </c>
      <c r="I1042" s="47"/>
      <c r="J1042" s="229" t="str">
        <f>HYPERLINK("https://drive.google.com/drive/folders/0BwQ57SNHxB3BVkp2Y2NRU1FhcDg","2320")</f>
        <v>2320</v>
      </c>
      <c r="K1042" s="28"/>
      <c r="L1042" s="28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  <c r="AA1042" s="46"/>
    </row>
    <row r="1043" spans="1:27" ht="18.75">
      <c r="A1043" s="121"/>
      <c r="B1043" s="20">
        <v>2320</v>
      </c>
      <c r="C1043" s="21" t="s">
        <v>37</v>
      </c>
      <c r="D1043" s="63" t="s">
        <v>802</v>
      </c>
      <c r="E1043" s="21">
        <v>58</v>
      </c>
      <c r="F1043" s="46" t="s">
        <v>60</v>
      </c>
      <c r="G1043" s="27" t="s">
        <v>28</v>
      </c>
      <c r="H1043" s="47">
        <v>3210000</v>
      </c>
      <c r="I1043" s="47"/>
      <c r="J1043" s="229" t="str">
        <f>HYPERLINK("https://drive.google.com/drive/folders/0BwQ57SNHxB3BMEFZMmpqQVlhbkk","2320")</f>
        <v>2320</v>
      </c>
      <c r="K1043" s="28"/>
      <c r="L1043" s="28"/>
      <c r="N1043" s="46"/>
      <c r="O1043" s="46"/>
      <c r="P1043" s="46"/>
      <c r="Q1043" s="46"/>
      <c r="R1043" s="46"/>
      <c r="S1043" s="46"/>
      <c r="T1043" s="46"/>
      <c r="U1043" s="46"/>
      <c r="V1043" s="46"/>
      <c r="W1043" s="46"/>
      <c r="X1043" s="46"/>
      <c r="Y1043" s="46"/>
      <c r="Z1043" s="46"/>
      <c r="AA1043" s="46"/>
    </row>
    <row r="1044" spans="1:27" ht="18.75">
      <c r="A1044" s="121"/>
      <c r="B1044" s="20">
        <v>3825</v>
      </c>
      <c r="C1044" s="21" t="s">
        <v>256</v>
      </c>
      <c r="D1044" s="63" t="s">
        <v>779</v>
      </c>
      <c r="E1044" s="21">
        <v>58</v>
      </c>
      <c r="F1044" s="46" t="s">
        <v>468</v>
      </c>
      <c r="G1044" s="27" t="s">
        <v>28</v>
      </c>
      <c r="H1044" s="47">
        <v>2400000</v>
      </c>
      <c r="I1044" s="47"/>
      <c r="J1044" s="229" t="str">
        <f>HYPERLINK("https://drive.google.com/drive/folders/0BwQ57SNHxB3BMXVTaFFpUHNfY1U","3825")</f>
        <v>3825</v>
      </c>
      <c r="K1044" s="28"/>
      <c r="L1044" s="28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  <c r="X1044" s="46"/>
      <c r="Y1044" s="46"/>
      <c r="Z1044" s="46"/>
      <c r="AA1044" s="46"/>
    </row>
    <row r="1045" spans="1:27" ht="37.5">
      <c r="A1045" s="121"/>
      <c r="B1045" s="20">
        <v>3930</v>
      </c>
      <c r="C1045" s="21" t="s">
        <v>4018</v>
      </c>
      <c r="D1045" s="63" t="s">
        <v>450</v>
      </c>
      <c r="E1045" s="21">
        <v>58</v>
      </c>
      <c r="F1045" s="46" t="s">
        <v>451</v>
      </c>
      <c r="G1045" s="27" t="s">
        <v>28</v>
      </c>
      <c r="H1045" s="47">
        <f>7245000/7</f>
        <v>1035000</v>
      </c>
      <c r="I1045" s="47"/>
      <c r="J1045" s="229" t="str">
        <f>HYPERLINK("https://drive.google.com/drive/folders/0BwQ57SNHxB3BenhOdlg1RF9FRVk","3930")</f>
        <v>3930</v>
      </c>
      <c r="K1045" s="28"/>
      <c r="L1045" s="28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6"/>
      <c r="Y1045" s="46"/>
      <c r="Z1045" s="46"/>
      <c r="AA1045" s="46"/>
    </row>
    <row r="1046" spans="1:27" ht="18.75">
      <c r="A1046" s="121"/>
      <c r="B1046" s="20">
        <v>4210</v>
      </c>
      <c r="C1046" s="21" t="s">
        <v>683</v>
      </c>
      <c r="D1046" s="63" t="s">
        <v>755</v>
      </c>
      <c r="E1046" s="21">
        <v>58</v>
      </c>
      <c r="F1046" s="46" t="s">
        <v>693</v>
      </c>
      <c r="G1046" s="27" t="s">
        <v>28</v>
      </c>
      <c r="H1046" s="47"/>
      <c r="I1046" s="47"/>
      <c r="J1046" s="229" t="str">
        <f>HYPERLINK("https://drive.google.com/drive/folders/0BwQ57SNHxB3BOXlURzRLUHB2NzA","4210")</f>
        <v>4210</v>
      </c>
      <c r="K1046" s="28"/>
      <c r="L1046" s="28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  <c r="AA1046" s="46"/>
    </row>
    <row r="1047" spans="1:27" ht="18.75">
      <c r="A1047" s="121"/>
      <c r="B1047" s="20">
        <v>4210</v>
      </c>
      <c r="C1047" s="21" t="s">
        <v>683</v>
      </c>
      <c r="D1047" s="63" t="s">
        <v>757</v>
      </c>
      <c r="E1047" s="21">
        <v>58</v>
      </c>
      <c r="F1047" s="46" t="s">
        <v>693</v>
      </c>
      <c r="G1047" s="27" t="s">
        <v>28</v>
      </c>
      <c r="H1047" s="47">
        <v>2500000</v>
      </c>
      <c r="I1047" s="47"/>
      <c r="J1047" s="229" t="str">
        <f>HYPERLINK("https://drive.google.com/drive/folders/0BwQ57SNHxB3BOXlURzRLUHB2NzA","4210")</f>
        <v>4210</v>
      </c>
      <c r="K1047" s="28"/>
      <c r="L1047" s="28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  <c r="X1047" s="46"/>
      <c r="Y1047" s="46"/>
      <c r="Z1047" s="46"/>
      <c r="AA1047" s="46"/>
    </row>
    <row r="1048" spans="1:27" ht="37.5">
      <c r="A1048" s="17"/>
      <c r="B1048" s="20">
        <v>2320</v>
      </c>
      <c r="C1048" s="21" t="s">
        <v>37</v>
      </c>
      <c r="D1048" s="44" t="s">
        <v>801</v>
      </c>
      <c r="E1048" s="21">
        <v>58</v>
      </c>
      <c r="F1048" s="46" t="s">
        <v>41</v>
      </c>
      <c r="G1048" s="26" t="s">
        <v>28</v>
      </c>
      <c r="H1048" s="27">
        <v>3500000</v>
      </c>
      <c r="I1048" s="28"/>
      <c r="J1048" s="229" t="str">
        <f>HYPERLINK("https://drive.google.com/drive/folders/0BwQ57SNHxB3BVkp2Y2NRU1FhcDg","2320")</f>
        <v>2320</v>
      </c>
      <c r="K1048" s="49"/>
      <c r="L1048" s="51"/>
      <c r="M1048" s="46" t="s">
        <v>3985</v>
      </c>
      <c r="N1048" s="32"/>
      <c r="O1048" s="32"/>
      <c r="P1048" s="32"/>
      <c r="Q1048" s="32"/>
      <c r="R1048" s="32"/>
      <c r="S1048" s="32"/>
      <c r="T1048" s="34"/>
      <c r="U1048" s="34">
        <f t="shared" ref="U1048:U1057" si="19">E1048+T1048-2+2500</f>
        <v>2556</v>
      </c>
      <c r="V1048" s="36" t="str">
        <f t="shared" ref="V1048:V1057" si="20">LEFT(B1048, SEARCH("",B1048,2))</f>
        <v>23</v>
      </c>
      <c r="W1048" s="39">
        <f t="shared" ref="W1048:W1057" si="21">COUNTIF($V$5:$V$440,V1048)-1</f>
        <v>-1</v>
      </c>
      <c r="X1048" s="40"/>
      <c r="Y1048" s="40"/>
      <c r="Z1048" s="40"/>
      <c r="AA1048" s="46"/>
    </row>
    <row r="1049" spans="1:27" ht="18.75">
      <c r="A1049" s="17"/>
      <c r="B1049" s="20">
        <v>2320</v>
      </c>
      <c r="C1049" s="21" t="s">
        <v>37</v>
      </c>
      <c r="D1049" s="44" t="s">
        <v>802</v>
      </c>
      <c r="E1049" s="21">
        <v>58</v>
      </c>
      <c r="F1049" s="46" t="s">
        <v>60</v>
      </c>
      <c r="G1049" s="26" t="s">
        <v>28</v>
      </c>
      <c r="H1049" s="27">
        <v>3210000</v>
      </c>
      <c r="I1049" s="28"/>
      <c r="J1049" s="229" t="str">
        <f>HYPERLINK("https://drive.google.com/drive/folders/0BwQ57SNHxB3BMEFZMmpqQVlhbkk","2320")</f>
        <v>2320</v>
      </c>
      <c r="K1049" s="49"/>
      <c r="L1049" s="51"/>
      <c r="M1049" s="46" t="s">
        <v>4019</v>
      </c>
      <c r="N1049" s="32"/>
      <c r="O1049" s="32"/>
      <c r="P1049" s="32"/>
      <c r="Q1049" s="32"/>
      <c r="R1049" s="32"/>
      <c r="S1049" s="32"/>
      <c r="T1049" s="34"/>
      <c r="U1049" s="34">
        <f t="shared" si="19"/>
        <v>2556</v>
      </c>
      <c r="V1049" s="36" t="str">
        <f t="shared" si="20"/>
        <v>23</v>
      </c>
      <c r="W1049" s="39">
        <f t="shared" si="21"/>
        <v>-1</v>
      </c>
      <c r="X1049" s="40"/>
      <c r="Y1049" s="40"/>
      <c r="Z1049" s="40"/>
      <c r="AA1049" s="46"/>
    </row>
    <row r="1050" spans="1:27" ht="37.5">
      <c r="A1050" s="17"/>
      <c r="B1050" s="20">
        <v>3825</v>
      </c>
      <c r="C1050" s="21" t="s">
        <v>256</v>
      </c>
      <c r="D1050" s="44" t="s">
        <v>779</v>
      </c>
      <c r="E1050" s="21">
        <v>58</v>
      </c>
      <c r="F1050" s="46" t="s">
        <v>468</v>
      </c>
      <c r="G1050" s="26" t="s">
        <v>28</v>
      </c>
      <c r="H1050" s="27">
        <v>2400000</v>
      </c>
      <c r="I1050" s="28"/>
      <c r="J1050" s="229" t="str">
        <f>HYPERLINK("https://drive.google.com/drive/folders/0BwQ57SNHxB3BMXVTaFFpUHNfY1U","3825")</f>
        <v>3825</v>
      </c>
      <c r="K1050" s="49" t="str">
        <f>HYPERLINK("https://drive.google.com/drive/folders/0BwQ57SNHxB3BVGpIdG9kem1lVGc","3825")</f>
        <v>3825</v>
      </c>
      <c r="L1050" s="51"/>
      <c r="M1050" s="46" t="s">
        <v>780</v>
      </c>
      <c r="N1050" s="32"/>
      <c r="O1050" s="32"/>
      <c r="P1050" s="32"/>
      <c r="Q1050" s="32"/>
      <c r="R1050" s="32"/>
      <c r="S1050" s="32"/>
      <c r="T1050" s="34"/>
      <c r="U1050" s="34">
        <f t="shared" si="19"/>
        <v>2556</v>
      </c>
      <c r="V1050" s="36" t="str">
        <f t="shared" si="20"/>
        <v>38</v>
      </c>
      <c r="W1050" s="39">
        <f t="shared" si="21"/>
        <v>-1</v>
      </c>
      <c r="X1050" s="40"/>
      <c r="Y1050" s="40"/>
      <c r="Z1050" s="40"/>
      <c r="AA1050" s="46"/>
    </row>
    <row r="1051" spans="1:27" ht="37.5">
      <c r="A1051" s="17"/>
      <c r="B1051" s="20">
        <v>4120</v>
      </c>
      <c r="C1051" s="21" t="s">
        <v>157</v>
      </c>
      <c r="D1051" s="44" t="s">
        <v>804</v>
      </c>
      <c r="E1051" s="21">
        <v>58</v>
      </c>
      <c r="F1051" s="46" t="s">
        <v>675</v>
      </c>
      <c r="G1051" s="26" t="s">
        <v>78</v>
      </c>
      <c r="H1051" s="27">
        <v>750000</v>
      </c>
      <c r="I1051" s="28"/>
      <c r="J1051" s="229" t="str">
        <f>HYPERLINK("https://drive.google.com/drive/folders/0BwQ57SNHxB3BQjFidERZM015LVk","4120")</f>
        <v>4120</v>
      </c>
      <c r="K1051" s="49" t="str">
        <f>HYPERLINK("https://drive.google.com/drive/folders/0BwQ57SNHxB3BRi1zZjFVWHN6b2c","4120")</f>
        <v>4120</v>
      </c>
      <c r="L1051" s="51"/>
      <c r="M1051" s="46" t="s">
        <v>4020</v>
      </c>
      <c r="N1051" s="32"/>
      <c r="O1051" s="32"/>
      <c r="P1051" s="32"/>
      <c r="Q1051" s="32"/>
      <c r="R1051" s="32"/>
      <c r="S1051" s="32"/>
      <c r="T1051" s="34">
        <v>20</v>
      </c>
      <c r="U1051" s="34">
        <f t="shared" si="19"/>
        <v>2576</v>
      </c>
      <c r="V1051" s="36" t="str">
        <f t="shared" si="20"/>
        <v>41</v>
      </c>
      <c r="W1051" s="39">
        <f t="shared" si="21"/>
        <v>-1</v>
      </c>
      <c r="X1051" s="40"/>
      <c r="Y1051" s="40"/>
      <c r="Z1051" s="40"/>
      <c r="AA1051" s="46"/>
    </row>
    <row r="1052" spans="1:27" ht="37.5">
      <c r="A1052" s="17"/>
      <c r="B1052" s="20">
        <v>4120</v>
      </c>
      <c r="C1052" s="21" t="s">
        <v>157</v>
      </c>
      <c r="D1052" s="44" t="s">
        <v>806</v>
      </c>
      <c r="E1052" s="21">
        <v>58</v>
      </c>
      <c r="F1052" s="46" t="s">
        <v>807</v>
      </c>
      <c r="G1052" s="26" t="s">
        <v>78</v>
      </c>
      <c r="H1052" s="27">
        <v>195000</v>
      </c>
      <c r="I1052" s="28"/>
      <c r="J1052" s="229" t="str">
        <f>HYPERLINK("https://drive.google.com/drive/folders/0BwQ57SNHxB3BX3RrZGtYTW1hOWM","4120")</f>
        <v>4120</v>
      </c>
      <c r="K1052" s="49" t="str">
        <f>HYPERLINK("https://drive.google.com/drive/folders/0BwQ57SNHxB3BRi1zZjFVWHN6b2c","4120")</f>
        <v>4120</v>
      </c>
      <c r="L1052" s="51"/>
      <c r="M1052" s="46" t="s">
        <v>4021</v>
      </c>
      <c r="N1052" s="32"/>
      <c r="O1052" s="32"/>
      <c r="P1052" s="32"/>
      <c r="Q1052" s="32"/>
      <c r="R1052" s="32"/>
      <c r="S1052" s="32"/>
      <c r="T1052" s="34">
        <v>20</v>
      </c>
      <c r="U1052" s="34">
        <f t="shared" si="19"/>
        <v>2576</v>
      </c>
      <c r="V1052" s="36" t="str">
        <f t="shared" si="20"/>
        <v>41</v>
      </c>
      <c r="W1052" s="39">
        <f t="shared" si="21"/>
        <v>-1</v>
      </c>
      <c r="X1052" s="40"/>
      <c r="Y1052" s="40"/>
      <c r="Z1052" s="40"/>
      <c r="AA1052" s="46"/>
    </row>
    <row r="1053" spans="1:27" ht="37.5">
      <c r="A1053" s="17"/>
      <c r="B1053" s="20">
        <v>4120</v>
      </c>
      <c r="C1053" s="21" t="s">
        <v>157</v>
      </c>
      <c r="D1053" s="44" t="s">
        <v>637</v>
      </c>
      <c r="E1053" s="21">
        <v>58</v>
      </c>
      <c r="F1053" s="46" t="s">
        <v>811</v>
      </c>
      <c r="G1053" s="26" t="s">
        <v>78</v>
      </c>
      <c r="H1053" s="27">
        <v>75000</v>
      </c>
      <c r="I1053" s="28"/>
      <c r="J1053" s="229" t="str">
        <f>HYPERLINK("https://drive.google.com/drive/folders/0BwQ57SNHxB3BN2I4UWVzaFRnSE0","4120")</f>
        <v>4120</v>
      </c>
      <c r="K1053" s="49" t="str">
        <f>HYPERLINK("https://drive.google.com/drive/folders/0BwQ57SNHxB3BRi1zZjFVWHN6b2c","4120")</f>
        <v>4120</v>
      </c>
      <c r="L1053" s="51"/>
      <c r="M1053" s="46" t="s">
        <v>4022</v>
      </c>
      <c r="N1053" s="32"/>
      <c r="O1053" s="32"/>
      <c r="P1053" s="32"/>
      <c r="Q1053" s="32"/>
      <c r="R1053" s="32"/>
      <c r="S1053" s="32"/>
      <c r="T1053" s="34">
        <v>15</v>
      </c>
      <c r="U1053" s="34">
        <f t="shared" si="19"/>
        <v>2571</v>
      </c>
      <c r="V1053" s="36" t="str">
        <f t="shared" si="20"/>
        <v>41</v>
      </c>
      <c r="W1053" s="39">
        <f t="shared" si="21"/>
        <v>-1</v>
      </c>
      <c r="X1053" s="40"/>
      <c r="Y1053" s="40"/>
      <c r="Z1053" s="40"/>
      <c r="AA1053" s="46"/>
    </row>
    <row r="1054" spans="1:27" ht="56.25">
      <c r="A1054" s="17"/>
      <c r="B1054" s="20">
        <v>4210</v>
      </c>
      <c r="C1054" s="21" t="s">
        <v>683</v>
      </c>
      <c r="D1054" s="44" t="s">
        <v>755</v>
      </c>
      <c r="E1054" s="21">
        <v>58</v>
      </c>
      <c r="F1054" s="46" t="s">
        <v>693</v>
      </c>
      <c r="G1054" s="26" t="s">
        <v>28</v>
      </c>
      <c r="H1054" s="27"/>
      <c r="I1054" s="28"/>
      <c r="J1054" s="229" t="str">
        <f>HYPERLINK("https://drive.google.com/drive/folders/0BwQ57SNHxB3BOXlURzRLUHB2NzA","4210")</f>
        <v>4210</v>
      </c>
      <c r="K1054" s="49" t="str">
        <f>HYPERLINK("https://drive.google.com/drive/folders/0BwN2QqBc2z4Qfmtfdk5jMzM5Qml2c0t5YmJTblNUU1c4MEItN2tEWDV5MG1WQ0prdHBtWUk","4210")</f>
        <v>4210</v>
      </c>
      <c r="L1054" s="51"/>
      <c r="M1054" s="46" t="s">
        <v>4023</v>
      </c>
      <c r="N1054" s="32"/>
      <c r="O1054" s="32"/>
      <c r="P1054" s="32"/>
      <c r="Q1054" s="32"/>
      <c r="R1054" s="32"/>
      <c r="S1054" s="32"/>
      <c r="T1054" s="83">
        <v>10</v>
      </c>
      <c r="U1054" s="83">
        <f t="shared" si="19"/>
        <v>2566</v>
      </c>
      <c r="V1054" s="36" t="str">
        <f t="shared" si="20"/>
        <v>42</v>
      </c>
      <c r="W1054" s="39">
        <f t="shared" si="21"/>
        <v>-1</v>
      </c>
      <c r="X1054" s="40"/>
      <c r="Y1054" s="40"/>
      <c r="Z1054" s="40"/>
      <c r="AA1054" s="46"/>
    </row>
    <row r="1055" spans="1:27" ht="56.25">
      <c r="A1055" s="17"/>
      <c r="B1055" s="20">
        <v>4210</v>
      </c>
      <c r="C1055" s="21" t="s">
        <v>683</v>
      </c>
      <c r="D1055" s="44" t="s">
        <v>757</v>
      </c>
      <c r="E1055" s="21">
        <v>58</v>
      </c>
      <c r="F1055" s="46" t="s">
        <v>693</v>
      </c>
      <c r="G1055" s="26" t="s">
        <v>28</v>
      </c>
      <c r="H1055" s="27">
        <v>2500000</v>
      </c>
      <c r="I1055" s="28"/>
      <c r="J1055" s="229" t="str">
        <f>HYPERLINK("https://drive.google.com/drive/folders/0BwQ57SNHxB3BOXlURzRLUHB2NzA","4210")</f>
        <v>4210</v>
      </c>
      <c r="K1055" s="49" t="str">
        <f>HYPERLINK("https://drive.google.com/drive/folders/0BwN2QqBc2z4Qfmtfdk5jMzM5Qml2c0t5YmJTblNUU1c4MEItN2tEWDV5MG1WQ0prdHBtWUk","4210")</f>
        <v>4210</v>
      </c>
      <c r="L1055" s="51"/>
      <c r="M1055" s="46" t="s">
        <v>4023</v>
      </c>
      <c r="N1055" s="32"/>
      <c r="O1055" s="32"/>
      <c r="P1055" s="32"/>
      <c r="Q1055" s="32"/>
      <c r="R1055" s="32"/>
      <c r="S1055" s="32"/>
      <c r="T1055" s="34"/>
      <c r="U1055" s="34">
        <f t="shared" si="19"/>
        <v>2556</v>
      </c>
      <c r="V1055" s="36" t="str">
        <f t="shared" si="20"/>
        <v>42</v>
      </c>
      <c r="W1055" s="39">
        <f t="shared" si="21"/>
        <v>-1</v>
      </c>
      <c r="X1055" s="40"/>
      <c r="Y1055" s="40"/>
      <c r="Z1055" s="40"/>
      <c r="AA1055" s="46"/>
    </row>
    <row r="1056" spans="1:27" ht="18.75">
      <c r="A1056" s="17"/>
      <c r="B1056" s="20">
        <v>6115</v>
      </c>
      <c r="C1056" s="21" t="s">
        <v>37</v>
      </c>
      <c r="D1056" s="44" t="s">
        <v>789</v>
      </c>
      <c r="E1056" s="21">
        <v>58</v>
      </c>
      <c r="F1056" s="46" t="s">
        <v>790</v>
      </c>
      <c r="G1056" s="26" t="s">
        <v>78</v>
      </c>
      <c r="H1056" s="27"/>
      <c r="I1056" s="28"/>
      <c r="J1056" s="229" t="str">
        <f>HYPERLINK("https://drive.google.com/drive/folders/0BwQ57SNHxB3BaTJvemN4X20zbWM","6115")</f>
        <v>6115</v>
      </c>
      <c r="K1056" s="137" t="str">
        <f>HYPERLINK("https://drive.google.com/drive/folders/0BwN2QqBc2z4QfjhLT3VXcmMxTVZyVWNMWTc0MkJJMlU0UnB3eTljcl95NlNudVl0U21IdkU","6115")</f>
        <v>6115</v>
      </c>
      <c r="L1056" s="138"/>
      <c r="M1056" s="74" t="s">
        <v>4024</v>
      </c>
      <c r="N1056" s="32"/>
      <c r="O1056" s="32"/>
      <c r="P1056" s="32"/>
      <c r="Q1056" s="32"/>
      <c r="R1056" s="32"/>
      <c r="S1056" s="32"/>
      <c r="T1056" s="34">
        <v>15</v>
      </c>
      <c r="U1056" s="34">
        <f t="shared" si="19"/>
        <v>2571</v>
      </c>
      <c r="V1056" s="36" t="str">
        <f t="shared" si="20"/>
        <v>61</v>
      </c>
      <c r="W1056" s="39">
        <f t="shared" si="21"/>
        <v>-1</v>
      </c>
      <c r="X1056" s="40"/>
      <c r="Y1056" s="40"/>
      <c r="Z1056" s="40"/>
      <c r="AA1056" s="46"/>
    </row>
    <row r="1057" spans="1:27" ht="75">
      <c r="A1057" s="17"/>
      <c r="B1057" s="20">
        <v>6675</v>
      </c>
      <c r="C1057" s="21" t="s">
        <v>191</v>
      </c>
      <c r="D1057" s="44" t="s">
        <v>858</v>
      </c>
      <c r="E1057" s="21">
        <v>58</v>
      </c>
      <c r="F1057" s="46" t="s">
        <v>859</v>
      </c>
      <c r="G1057" s="26" t="s">
        <v>78</v>
      </c>
      <c r="H1057" s="27">
        <v>749000</v>
      </c>
      <c r="I1057" s="28"/>
      <c r="J1057" s="229" t="str">
        <f>HYPERLINK("https://drive.google.com/drive/folders/0BwQ57SNHxB3Bdk13SzhWZ3BHNHc","6675")</f>
        <v>6675</v>
      </c>
      <c r="K1057" s="137" t="str">
        <f>HYPERLINK("https://drive.google.com/drive/folders/0BwQ57SNHxB3BcFJfdHFXV2VQcDQ","6675")</f>
        <v>6675</v>
      </c>
      <c r="L1057" s="148">
        <v>6675356816704</v>
      </c>
      <c r="M1057" s="46" t="s">
        <v>4025</v>
      </c>
      <c r="N1057" s="32"/>
      <c r="O1057" s="32"/>
      <c r="P1057" s="32"/>
      <c r="Q1057" s="32"/>
      <c r="R1057" s="32"/>
      <c r="S1057" s="32"/>
      <c r="T1057" s="83">
        <v>10</v>
      </c>
      <c r="U1057" s="83">
        <f t="shared" si="19"/>
        <v>2566</v>
      </c>
      <c r="V1057" s="36" t="str">
        <f t="shared" si="20"/>
        <v>66</v>
      </c>
      <c r="W1057" s="39">
        <f t="shared" si="21"/>
        <v>-1</v>
      </c>
      <c r="X1057" s="40"/>
      <c r="Y1057" s="40"/>
      <c r="Z1057" s="40"/>
      <c r="AA1057" s="46"/>
    </row>
    <row r="1058" spans="1:27" ht="18.75">
      <c r="A1058" s="121"/>
      <c r="B1058" s="20">
        <v>2320</v>
      </c>
      <c r="C1058" s="21" t="s">
        <v>37</v>
      </c>
      <c r="D1058" s="63" t="s">
        <v>38</v>
      </c>
      <c r="E1058" s="21">
        <v>59</v>
      </c>
      <c r="F1058" s="46" t="s">
        <v>41</v>
      </c>
      <c r="G1058" s="27" t="s">
        <v>28</v>
      </c>
      <c r="H1058" s="47">
        <v>3900000</v>
      </c>
      <c r="I1058" s="47"/>
      <c r="J1058" s="229" t="str">
        <f>HYPERLINK("https://drive.google.com/drive/folders/0B2vBTVEfSzItdEpBTEg2aFhLYjg","2320")</f>
        <v>2320</v>
      </c>
      <c r="K1058" s="28"/>
      <c r="L1058" s="28"/>
      <c r="N1058" s="46"/>
      <c r="O1058" s="46"/>
      <c r="P1058" s="46"/>
      <c r="Q1058" s="46"/>
      <c r="R1058" s="46"/>
      <c r="S1058" s="46"/>
      <c r="T1058" s="46"/>
      <c r="U1058" s="46"/>
      <c r="V1058" s="46"/>
      <c r="W1058" s="46"/>
      <c r="X1058" s="46"/>
      <c r="Y1058" s="46"/>
      <c r="Z1058" s="46"/>
      <c r="AA1058" s="46"/>
    </row>
    <row r="1059" spans="1:27" ht="18.75">
      <c r="A1059" s="121"/>
      <c r="B1059" s="20">
        <v>4210</v>
      </c>
      <c r="C1059" s="21" t="s">
        <v>683</v>
      </c>
      <c r="D1059" s="63" t="s">
        <v>752</v>
      </c>
      <c r="E1059" s="21">
        <v>59</v>
      </c>
      <c r="F1059" s="46" t="s">
        <v>753</v>
      </c>
      <c r="G1059" s="27" t="s">
        <v>28</v>
      </c>
      <c r="H1059" s="47">
        <v>6900000</v>
      </c>
      <c r="I1059" s="47"/>
      <c r="J1059" s="229" t="str">
        <f>HYPERLINK("https://drive.google.com/drive/folders/0B2vBTVEfSzItak9yOVlLQVZIR0U","4210")</f>
        <v>4210</v>
      </c>
      <c r="K1059" s="28"/>
      <c r="L1059" s="28"/>
      <c r="N1059" s="46"/>
      <c r="O1059" s="46"/>
      <c r="P1059" s="46"/>
      <c r="Q1059" s="46"/>
      <c r="R1059" s="46"/>
      <c r="S1059" s="46"/>
      <c r="T1059" s="46"/>
      <c r="U1059" s="46"/>
      <c r="V1059" s="46"/>
      <c r="W1059" s="46"/>
      <c r="X1059" s="46"/>
      <c r="Y1059" s="46"/>
      <c r="Z1059" s="46"/>
      <c r="AA1059" s="46"/>
    </row>
    <row r="1060" spans="1:27" ht="18.75">
      <c r="A1060" s="121"/>
      <c r="B1060" s="20">
        <v>4210</v>
      </c>
      <c r="C1060" s="21" t="s">
        <v>683</v>
      </c>
      <c r="D1060" s="63" t="s">
        <v>696</v>
      </c>
      <c r="E1060" s="21">
        <v>59</v>
      </c>
      <c r="F1060" s="46" t="s">
        <v>697</v>
      </c>
      <c r="G1060" s="27" t="s">
        <v>28</v>
      </c>
      <c r="H1060" s="47"/>
      <c r="I1060" s="47"/>
      <c r="J1060" s="229" t="str">
        <f>HYPERLINK("https://drive.google.com/drive/folders/0B2vBTVEfSzItY3lRTnFTZG9UdTQ","4210")</f>
        <v>4210</v>
      </c>
      <c r="K1060" s="28"/>
      <c r="L1060" s="28"/>
      <c r="N1060" s="46"/>
      <c r="O1060" s="46"/>
      <c r="P1060" s="46"/>
      <c r="Q1060" s="46"/>
      <c r="R1060" s="46"/>
      <c r="S1060" s="46"/>
      <c r="T1060" s="46"/>
      <c r="U1060" s="46"/>
      <c r="V1060" s="46"/>
      <c r="W1060" s="46"/>
      <c r="X1060" s="46"/>
      <c r="Y1060" s="46"/>
      <c r="Z1060" s="46"/>
      <c r="AA1060" s="46"/>
    </row>
    <row r="1061" spans="1:27" ht="12.6" customHeight="1">
      <c r="A1061" s="17"/>
      <c r="B1061" s="20">
        <v>2320</v>
      </c>
      <c r="C1061" s="21" t="s">
        <v>63</v>
      </c>
      <c r="D1061" s="44" t="s">
        <v>842</v>
      </c>
      <c r="E1061" s="21">
        <v>59</v>
      </c>
      <c r="F1061" s="46" t="s">
        <v>4026</v>
      </c>
      <c r="G1061" s="26" t="s">
        <v>28</v>
      </c>
      <c r="H1061" s="27">
        <v>1980000</v>
      </c>
      <c r="I1061" s="28"/>
      <c r="J1061" s="229" t="str">
        <f>HYPERLINK("https://drive.google.com/drive/folders/0B2vBTVEfSzItUmVkWnpTTkNqak0","2320")</f>
        <v>2320</v>
      </c>
      <c r="K1061" s="49"/>
      <c r="L1061" s="51"/>
      <c r="M1061" s="322" t="s">
        <v>4027</v>
      </c>
      <c r="N1061" s="32"/>
      <c r="O1061" s="32"/>
      <c r="P1061" s="32"/>
      <c r="Q1061" s="32"/>
      <c r="R1061" s="32"/>
      <c r="S1061" s="32"/>
      <c r="T1061" s="34"/>
      <c r="U1061" s="34">
        <f t="shared" ref="U1061:U1067" si="22">E1061+T1061-2+2500</f>
        <v>2557</v>
      </c>
      <c r="V1061" s="36" t="str">
        <f t="shared" ref="V1061:V1067" si="23">LEFT(B1061, SEARCH("",B1061,2))</f>
        <v>23</v>
      </c>
      <c r="W1061" s="39">
        <f t="shared" ref="W1061:W1067" si="24">COUNTIF($V$5:$V$440,V1061)-1</f>
        <v>-1</v>
      </c>
      <c r="X1061" s="40"/>
      <c r="Y1061" s="40"/>
      <c r="Z1061" s="40"/>
      <c r="AA1061" s="46"/>
    </row>
    <row r="1062" spans="1:27" ht="75">
      <c r="A1062" s="17"/>
      <c r="B1062" s="20">
        <v>3750</v>
      </c>
      <c r="C1062" s="21" t="s">
        <v>63</v>
      </c>
      <c r="D1062" s="44" t="s">
        <v>829</v>
      </c>
      <c r="E1062" s="21">
        <v>59</v>
      </c>
      <c r="F1062" s="46" t="s">
        <v>830</v>
      </c>
      <c r="G1062" s="26" t="s">
        <v>53</v>
      </c>
      <c r="H1062" s="27">
        <v>150000</v>
      </c>
      <c r="I1062" s="28"/>
      <c r="J1062" s="229" t="str">
        <f>HYPERLINK("https://drive.google.com/drive/folders/0B2vBTVEfSzItdm5vS19QRFBpX3M","3750")</f>
        <v>3750</v>
      </c>
      <c r="K1062" s="49"/>
      <c r="L1062" s="51"/>
      <c r="M1062" s="46" t="s">
        <v>4028</v>
      </c>
      <c r="N1062" s="32"/>
      <c r="O1062" s="32"/>
      <c r="P1062" s="32"/>
      <c r="Q1062" s="32"/>
      <c r="R1062" s="32"/>
      <c r="S1062" s="32"/>
      <c r="T1062" s="34"/>
      <c r="U1062" s="34">
        <f t="shared" si="22"/>
        <v>2557</v>
      </c>
      <c r="V1062" s="36" t="str">
        <f t="shared" si="23"/>
        <v>37</v>
      </c>
      <c r="W1062" s="39">
        <f t="shared" si="24"/>
        <v>-1</v>
      </c>
      <c r="X1062" s="40"/>
      <c r="Y1062" s="40"/>
      <c r="Z1062" s="40"/>
      <c r="AA1062" s="46"/>
    </row>
    <row r="1063" spans="1:27" ht="37.5">
      <c r="A1063" s="17"/>
      <c r="B1063" s="20">
        <v>4210</v>
      </c>
      <c r="C1063" s="21" t="s">
        <v>683</v>
      </c>
      <c r="D1063" s="44" t="s">
        <v>734</v>
      </c>
      <c r="E1063" s="21">
        <v>59</v>
      </c>
      <c r="F1063" s="46" t="s">
        <v>735</v>
      </c>
      <c r="G1063" s="26" t="s">
        <v>78</v>
      </c>
      <c r="H1063" s="27">
        <v>800000</v>
      </c>
      <c r="I1063" s="28"/>
      <c r="J1063" s="229" t="str">
        <f>HYPERLINK("https://drive.google.com/drive/folders/0B2vBTVEfSzItQi1oSFpHYk9aRFE","4210")</f>
        <v>4210</v>
      </c>
      <c r="K1063" s="49"/>
      <c r="L1063" s="51"/>
      <c r="M1063" s="46" t="s">
        <v>3986</v>
      </c>
      <c r="N1063" s="32"/>
      <c r="O1063" s="32"/>
      <c r="P1063" s="32"/>
      <c r="Q1063" s="32"/>
      <c r="R1063" s="32"/>
      <c r="S1063" s="32"/>
      <c r="T1063" s="34"/>
      <c r="U1063" s="34">
        <f t="shared" si="22"/>
        <v>2557</v>
      </c>
      <c r="V1063" s="36" t="str">
        <f t="shared" si="23"/>
        <v>42</v>
      </c>
      <c r="W1063" s="39">
        <f t="shared" si="24"/>
        <v>-1</v>
      </c>
      <c r="X1063" s="40"/>
      <c r="Y1063" s="40"/>
      <c r="Z1063" s="40"/>
      <c r="AA1063" s="46"/>
    </row>
    <row r="1064" spans="1:27" ht="18.75">
      <c r="A1064" s="17"/>
      <c r="B1064" s="20">
        <v>4210</v>
      </c>
      <c r="C1064" s="21" t="s">
        <v>683</v>
      </c>
      <c r="D1064" s="44" t="s">
        <v>752</v>
      </c>
      <c r="E1064" s="21">
        <v>59</v>
      </c>
      <c r="F1064" s="46" t="s">
        <v>753</v>
      </c>
      <c r="G1064" s="26" t="s">
        <v>28</v>
      </c>
      <c r="H1064" s="27">
        <v>6900000</v>
      </c>
      <c r="I1064" s="28">
        <v>42457</v>
      </c>
      <c r="J1064" s="229" t="str">
        <f>HYPERLINK("https://drive.google.com/drive/folders/0B2vBTVEfSzItak9yOVlLQVZIR0U","4210")</f>
        <v>4210</v>
      </c>
      <c r="K1064" s="49"/>
      <c r="L1064" s="51"/>
      <c r="M1064" s="46" t="s">
        <v>4029</v>
      </c>
      <c r="N1064" s="32"/>
      <c r="O1064" s="32"/>
      <c r="P1064" s="32"/>
      <c r="Q1064" s="32"/>
      <c r="R1064" s="32"/>
      <c r="S1064" s="32"/>
      <c r="T1064" s="34"/>
      <c r="U1064" s="34">
        <f t="shared" si="22"/>
        <v>2557</v>
      </c>
      <c r="V1064" s="36" t="str">
        <f t="shared" si="23"/>
        <v>42</v>
      </c>
      <c r="W1064" s="39">
        <f t="shared" si="24"/>
        <v>-1</v>
      </c>
      <c r="X1064" s="40"/>
      <c r="Y1064" s="40"/>
      <c r="Z1064" s="40"/>
      <c r="AA1064" s="46"/>
    </row>
    <row r="1065" spans="1:27" ht="37.5">
      <c r="A1065" s="17"/>
      <c r="B1065" s="20">
        <v>6110</v>
      </c>
      <c r="C1065" s="21" t="s">
        <v>37</v>
      </c>
      <c r="D1065" s="44" t="s">
        <v>795</v>
      </c>
      <c r="E1065" s="21">
        <v>59</v>
      </c>
      <c r="F1065" s="86" t="s">
        <v>796</v>
      </c>
      <c r="G1065" s="26" t="s">
        <v>78</v>
      </c>
      <c r="H1065" s="27"/>
      <c r="I1065" s="28"/>
      <c r="J1065" s="229" t="str">
        <f>HYPERLINK("https://drive.google.com/drive/folders/0BwQ57SNHxB3Ba216bVN2b0pkelE","6110")</f>
        <v>6110</v>
      </c>
      <c r="K1065" s="137"/>
      <c r="L1065" s="138"/>
      <c r="M1065" s="74" t="s">
        <v>4009</v>
      </c>
      <c r="N1065" s="32"/>
      <c r="O1065" s="32"/>
      <c r="P1065" s="32"/>
      <c r="Q1065" s="32"/>
      <c r="R1065" s="32"/>
      <c r="S1065" s="32"/>
      <c r="T1065" s="34"/>
      <c r="U1065" s="34">
        <f t="shared" si="22"/>
        <v>2557</v>
      </c>
      <c r="V1065" s="36" t="str">
        <f t="shared" si="23"/>
        <v>61</v>
      </c>
      <c r="W1065" s="39">
        <f t="shared" si="24"/>
        <v>-1</v>
      </c>
      <c r="X1065" s="40"/>
      <c r="Y1065" s="40"/>
      <c r="Z1065" s="40"/>
      <c r="AA1065" s="46"/>
    </row>
    <row r="1066" spans="1:27" ht="18.75">
      <c r="A1066" s="17"/>
      <c r="B1066" s="20">
        <v>6115</v>
      </c>
      <c r="C1066" s="21" t="s">
        <v>37</v>
      </c>
      <c r="D1066" s="44" t="s">
        <v>784</v>
      </c>
      <c r="E1066" s="21">
        <v>59</v>
      </c>
      <c r="F1066" s="86" t="s">
        <v>785</v>
      </c>
      <c r="G1066" s="26" t="s">
        <v>78</v>
      </c>
      <c r="H1066" s="27"/>
      <c r="I1066" s="28"/>
      <c r="J1066" s="229" t="str">
        <f>HYPERLINK("https://drive.google.com/drive/folders/0BwQ57SNHxB3BVnJCSTBXTXhuc00","6115")</f>
        <v>6115</v>
      </c>
      <c r="K1066" s="137"/>
      <c r="L1066" s="138"/>
      <c r="M1066" s="46" t="s">
        <v>3964</v>
      </c>
      <c r="N1066" s="32"/>
      <c r="O1066" s="32"/>
      <c r="P1066" s="32"/>
      <c r="Q1066" s="32"/>
      <c r="R1066" s="32"/>
      <c r="S1066" s="32"/>
      <c r="T1066" s="83"/>
      <c r="U1066" s="83">
        <f t="shared" si="22"/>
        <v>2557</v>
      </c>
      <c r="V1066" s="36" t="str">
        <f t="shared" si="23"/>
        <v>61</v>
      </c>
      <c r="W1066" s="39">
        <f t="shared" si="24"/>
        <v>-1</v>
      </c>
      <c r="X1066" s="40"/>
      <c r="Y1066" s="40"/>
      <c r="Z1066" s="40"/>
      <c r="AA1066" s="46"/>
    </row>
    <row r="1067" spans="1:27" ht="18.75">
      <c r="A1067" s="17"/>
      <c r="B1067" s="20">
        <v>8415</v>
      </c>
      <c r="C1067" s="21" t="s">
        <v>683</v>
      </c>
      <c r="D1067" s="44" t="s">
        <v>740</v>
      </c>
      <c r="E1067" s="21">
        <v>59</v>
      </c>
      <c r="F1067" s="74" t="s">
        <v>741</v>
      </c>
      <c r="G1067" s="26" t="s">
        <v>976</v>
      </c>
      <c r="H1067" s="27">
        <v>120000</v>
      </c>
      <c r="I1067" s="28"/>
      <c r="J1067" s="229" t="str">
        <f>HYPERLINK("https://drive.google.com/drive/folders/0BwQ57SNHxB3BTE93ZTBBcFpCM1k","8415")</f>
        <v>8415</v>
      </c>
      <c r="K1067" s="137"/>
      <c r="L1067" s="138"/>
      <c r="M1067" s="46" t="s">
        <v>742</v>
      </c>
      <c r="N1067" s="32"/>
      <c r="O1067" s="32"/>
      <c r="P1067" s="32"/>
      <c r="Q1067" s="32"/>
      <c r="R1067" s="32"/>
      <c r="S1067" s="32"/>
      <c r="T1067" s="34"/>
      <c r="U1067" s="34">
        <f t="shared" si="22"/>
        <v>2557</v>
      </c>
      <c r="V1067" s="36" t="str">
        <f t="shared" si="23"/>
        <v>84</v>
      </c>
      <c r="W1067" s="39">
        <f t="shared" si="24"/>
        <v>-1</v>
      </c>
      <c r="X1067" s="40"/>
      <c r="Y1067" s="40"/>
      <c r="Z1067" s="40"/>
      <c r="AA1067" s="46"/>
    </row>
    <row r="1068" spans="1:27" ht="18.75">
      <c r="A1068" s="121"/>
      <c r="B1068" s="20">
        <v>6310</v>
      </c>
      <c r="C1068" s="21" t="s">
        <v>157</v>
      </c>
      <c r="D1068" s="63" t="s">
        <v>4030</v>
      </c>
      <c r="E1068" s="21">
        <v>60</v>
      </c>
      <c r="F1068" s="46" t="s">
        <v>3895</v>
      </c>
      <c r="G1068" s="27" t="s">
        <v>78</v>
      </c>
      <c r="H1068" s="47"/>
      <c r="I1068" s="47"/>
      <c r="J1068" s="229" t="s">
        <v>2470</v>
      </c>
      <c r="K1068" s="28"/>
      <c r="L1068" s="28"/>
      <c r="N1068" s="46"/>
      <c r="O1068" s="46"/>
      <c r="P1068" s="46"/>
      <c r="Q1068" s="46"/>
      <c r="R1068" s="46"/>
      <c r="S1068" s="46"/>
      <c r="T1068" s="46" t="b">
        <v>0</v>
      </c>
      <c r="U1068" s="46"/>
      <c r="V1068" s="46">
        <v>2558</v>
      </c>
      <c r="W1068" s="46" t="s">
        <v>2220</v>
      </c>
      <c r="X1068" s="46">
        <v>1</v>
      </c>
      <c r="Y1068" s="46"/>
      <c r="Z1068" s="46"/>
      <c r="AA1068" s="46"/>
    </row>
    <row r="1069" spans="1:27" ht="75">
      <c r="A1069" s="17"/>
      <c r="B1069" s="20">
        <v>3895</v>
      </c>
      <c r="C1069" s="21" t="s">
        <v>63</v>
      </c>
      <c r="D1069" s="44" t="s">
        <v>839</v>
      </c>
      <c r="E1069" s="21">
        <v>60</v>
      </c>
      <c r="F1069" s="24" t="s">
        <v>840</v>
      </c>
      <c r="G1069" s="26" t="s">
        <v>367</v>
      </c>
      <c r="H1069" s="27"/>
      <c r="I1069" s="28"/>
      <c r="J1069" s="229"/>
      <c r="K1069" s="49"/>
      <c r="L1069" s="51"/>
      <c r="M1069" s="24" t="s">
        <v>4031</v>
      </c>
      <c r="N1069" s="32"/>
      <c r="O1069" s="32"/>
      <c r="P1069" s="32"/>
      <c r="Q1069" s="32"/>
      <c r="R1069" s="32"/>
      <c r="S1069" s="32"/>
      <c r="T1069" s="34"/>
      <c r="U1069" s="34">
        <f>E1069+T1069-2+2500</f>
        <v>2558</v>
      </c>
      <c r="V1069" s="36" t="str">
        <f>LEFT(B1069, SEARCH("",B1069,2))</f>
        <v>38</v>
      </c>
      <c r="W1069" s="39">
        <f>COUNTIF($V$5:$V$440,V1069)-1</f>
        <v>-1</v>
      </c>
      <c r="X1069" s="40"/>
      <c r="Y1069" s="40"/>
      <c r="Z1069" s="40"/>
      <c r="AA1069" s="46"/>
    </row>
    <row r="1070" spans="1:27" ht="18.75">
      <c r="A1070" s="50"/>
      <c r="B1070" s="20">
        <v>6675</v>
      </c>
      <c r="C1070" s="21" t="s">
        <v>372</v>
      </c>
      <c r="D1070" s="44" t="s">
        <v>820</v>
      </c>
      <c r="E1070" s="21">
        <v>60</v>
      </c>
      <c r="F1070" s="46" t="s">
        <v>1243</v>
      </c>
      <c r="G1070" s="26" t="s">
        <v>53</v>
      </c>
      <c r="H1070" s="27">
        <v>250000</v>
      </c>
      <c r="I1070" s="28"/>
      <c r="J1070" s="229" t="str">
        <f>HYPERLINK("https://drive.google.com/drive/folders/0B2vBTVEfSzItNmFlTzhaOVo3VlE","6675")</f>
        <v>6675</v>
      </c>
      <c r="K1070" s="137"/>
      <c r="L1070" s="138"/>
      <c r="M1070" s="46" t="s">
        <v>3965</v>
      </c>
      <c r="N1070" s="32"/>
      <c r="O1070" s="32"/>
      <c r="P1070" s="32"/>
      <c r="Q1070" s="32"/>
      <c r="R1070" s="32"/>
      <c r="S1070" s="32"/>
      <c r="T1070" s="83">
        <v>10</v>
      </c>
      <c r="U1070" s="83">
        <f>E1070+T1070-2+2500</f>
        <v>2568</v>
      </c>
      <c r="V1070" s="36" t="str">
        <f>LEFT(B1070, SEARCH("",B1070,2))</f>
        <v>66</v>
      </c>
      <c r="W1070" s="39">
        <f>COUNTIF($V$5:$V$440,V1070)-1</f>
        <v>-1</v>
      </c>
      <c r="X1070" s="40" t="s">
        <v>1232</v>
      </c>
      <c r="Y1070" s="40"/>
      <c r="Z1070" s="40"/>
      <c r="AA1070" s="46"/>
    </row>
    <row r="1071" spans="1:27" ht="18.75">
      <c r="A1071" s="17"/>
      <c r="B1071" s="20">
        <v>8415</v>
      </c>
      <c r="C1071" s="21" t="s">
        <v>683</v>
      </c>
      <c r="D1071" s="44" t="s">
        <v>747</v>
      </c>
      <c r="E1071" s="21">
        <v>60</v>
      </c>
      <c r="F1071" s="74" t="s">
        <v>745</v>
      </c>
      <c r="G1071" s="26" t="s">
        <v>53</v>
      </c>
      <c r="H1071" s="27"/>
      <c r="I1071" s="28"/>
      <c r="J1071" s="229" t="str">
        <f>HYPERLINK("https://drive.google.com/drive/folders/0B2vBTVEfSzItLXNNRkZoUWdtbFE","8415")</f>
        <v>8415</v>
      </c>
      <c r="K1071" s="137"/>
      <c r="L1071" s="138"/>
      <c r="M1071" s="46" t="s">
        <v>746</v>
      </c>
      <c r="N1071" s="32"/>
      <c r="O1071" s="32"/>
      <c r="P1071" s="32"/>
      <c r="Q1071" s="32"/>
      <c r="R1071" s="32"/>
      <c r="S1071" s="32"/>
      <c r="T1071" s="34"/>
      <c r="U1071" s="34">
        <f>E1071+T1071-2+2500</f>
        <v>2558</v>
      </c>
      <c r="V1071" s="36" t="str">
        <f>LEFT(B1071, SEARCH("",B1071,2))</f>
        <v>84</v>
      </c>
      <c r="W1071" s="39">
        <f>COUNTIF($V$5:$V$440,V1071)-1</f>
        <v>-1</v>
      </c>
      <c r="X1071" s="40"/>
      <c r="Y1071" s="40"/>
      <c r="Z1071" s="40"/>
      <c r="AA1071" s="46"/>
    </row>
    <row r="1072" spans="1:27" ht="18.75">
      <c r="A1072" s="121"/>
      <c r="B1072" s="20">
        <v>7230</v>
      </c>
      <c r="C1072" s="21" t="s">
        <v>372</v>
      </c>
      <c r="D1072" s="63" t="s">
        <v>4032</v>
      </c>
      <c r="E1072" s="21">
        <v>61</v>
      </c>
      <c r="F1072" s="46" t="s">
        <v>4033</v>
      </c>
      <c r="G1072" s="27"/>
      <c r="H1072" s="47"/>
      <c r="I1072" s="47"/>
      <c r="J1072" s="229"/>
      <c r="K1072" s="28"/>
      <c r="L1072" s="28"/>
      <c r="N1072" s="46"/>
      <c r="O1072" s="46"/>
      <c r="P1072" s="46"/>
      <c r="Q1072" s="46"/>
      <c r="R1072" s="46"/>
      <c r="S1072" s="46"/>
      <c r="T1072" s="46"/>
      <c r="U1072" s="46"/>
      <c r="V1072" s="46"/>
      <c r="W1072" s="46"/>
      <c r="X1072" s="46"/>
      <c r="Y1072" s="46"/>
      <c r="Z1072" s="46"/>
      <c r="AA1072" s="46"/>
    </row>
    <row r="1073" spans="1:27" ht="18.75">
      <c r="A1073" s="121"/>
      <c r="B1073" s="20">
        <v>7230</v>
      </c>
      <c r="C1073" s="21" t="s">
        <v>372</v>
      </c>
      <c r="D1073" s="63" t="s">
        <v>4034</v>
      </c>
      <c r="E1073" s="21">
        <v>61</v>
      </c>
      <c r="F1073" s="46" t="s">
        <v>4035</v>
      </c>
      <c r="G1073" s="27"/>
      <c r="H1073" s="47"/>
      <c r="I1073" s="47"/>
      <c r="J1073" s="229"/>
      <c r="K1073" s="28"/>
      <c r="L1073" s="28"/>
      <c r="N1073" s="46"/>
      <c r="O1073" s="46"/>
      <c r="P1073" s="46"/>
      <c r="Q1073" s="46"/>
      <c r="R1073" s="46"/>
      <c r="S1073" s="46"/>
      <c r="T1073" s="46"/>
      <c r="U1073" s="46"/>
      <c r="V1073" s="46"/>
      <c r="W1073" s="46"/>
      <c r="X1073" s="46"/>
      <c r="Y1073" s="46"/>
      <c r="Z1073" s="46"/>
      <c r="AA1073" s="46"/>
    </row>
    <row r="1074" spans="1:27" ht="18.75">
      <c r="A1074" s="121"/>
      <c r="B1074" s="20">
        <v>7230</v>
      </c>
      <c r="C1074" s="21" t="s">
        <v>372</v>
      </c>
      <c r="D1074" s="63" t="s">
        <v>4036</v>
      </c>
      <c r="E1074" s="21">
        <v>61</v>
      </c>
      <c r="F1074" s="46" t="s">
        <v>4037</v>
      </c>
      <c r="G1074" s="27"/>
      <c r="H1074" s="47"/>
      <c r="I1074" s="47"/>
      <c r="J1074" s="229"/>
      <c r="K1074" s="28"/>
      <c r="L1074" s="28"/>
      <c r="N1074" s="46"/>
      <c r="O1074" s="46"/>
      <c r="P1074" s="46"/>
      <c r="Q1074" s="46"/>
      <c r="R1074" s="46"/>
      <c r="S1074" s="46"/>
      <c r="T1074" s="46"/>
      <c r="U1074" s="46"/>
      <c r="V1074" s="46"/>
      <c r="W1074" s="46"/>
      <c r="X1074" s="46"/>
      <c r="Y1074" s="46"/>
      <c r="Z1074" s="46"/>
      <c r="AA1074" s="46"/>
    </row>
    <row r="1075" spans="1:27" ht="75">
      <c r="A1075" s="50"/>
      <c r="B1075" s="20">
        <v>3960</v>
      </c>
      <c r="C1075" s="63" t="s">
        <v>372</v>
      </c>
      <c r="D1075" s="44" t="s">
        <v>826</v>
      </c>
      <c r="E1075" s="63">
        <v>61</v>
      </c>
      <c r="F1075" s="74" t="s">
        <v>827</v>
      </c>
      <c r="G1075" s="26" t="s">
        <v>78</v>
      </c>
      <c r="H1075" s="317">
        <v>2500000</v>
      </c>
      <c r="I1075" s="84"/>
      <c r="J1075" s="229" t="str">
        <f>HYPERLINK("https://drive.google.com/drive/u/1/folders/14AqRjMLMDKzI4WXaWMnj36z1MkIIxf_U","3960")</f>
        <v>3960</v>
      </c>
      <c r="K1075" s="81"/>
      <c r="L1075" s="82"/>
      <c r="M1075" s="74" t="s">
        <v>4038</v>
      </c>
      <c r="N1075" s="32"/>
      <c r="O1075" s="32"/>
      <c r="P1075" s="32"/>
      <c r="Q1075" s="32"/>
      <c r="R1075" s="32"/>
      <c r="S1075" s="32"/>
      <c r="T1075" s="34"/>
      <c r="U1075" s="34"/>
      <c r="V1075" s="36" t="str">
        <f>LEFT(B1075, SEARCH("",B1075,2))</f>
        <v>39</v>
      </c>
      <c r="W1075" s="39">
        <f>COUNTIF($V$5:$V$440,V1075)-1</f>
        <v>-1</v>
      </c>
      <c r="X1075" s="40" t="s">
        <v>548</v>
      </c>
      <c r="Y1075" s="40"/>
      <c r="Z1075" s="40"/>
      <c r="AA1075" s="46"/>
    </row>
    <row r="1076" spans="1:27" ht="18.75">
      <c r="A1076" s="121"/>
      <c r="B1076" s="20" t="str">
        <f>LEFT(D1076, SEARCH("",D1076,4))</f>
        <v>4540</v>
      </c>
      <c r="C1076" s="21"/>
      <c r="D1076" s="63" t="s">
        <v>4039</v>
      </c>
      <c r="E1076" s="21"/>
      <c r="F1076" s="46" t="s">
        <v>4040</v>
      </c>
      <c r="G1076" s="27"/>
      <c r="H1076" s="47"/>
      <c r="I1076" s="47"/>
      <c r="J1076" s="229"/>
      <c r="K1076" s="28"/>
      <c r="L1076" s="28"/>
      <c r="N1076" s="46"/>
      <c r="O1076" s="46"/>
      <c r="P1076" s="46"/>
      <c r="Q1076" s="46"/>
      <c r="R1076" s="46"/>
      <c r="S1076" s="46"/>
      <c r="T1076" s="46"/>
      <c r="U1076" s="46"/>
      <c r="V1076" s="46"/>
      <c r="W1076" s="46"/>
      <c r="X1076" s="46"/>
      <c r="Y1076" s="46"/>
      <c r="Z1076" s="46"/>
      <c r="AA1076" s="46"/>
    </row>
    <row r="1077" spans="1:27" ht="18.75">
      <c r="A1077" s="121"/>
      <c r="B1077" s="20"/>
      <c r="C1077" s="21"/>
      <c r="D1077" s="63"/>
      <c r="E1077" s="21"/>
      <c r="F1077" s="46"/>
      <c r="G1077" s="27"/>
      <c r="H1077" s="47"/>
      <c r="I1077" s="47"/>
      <c r="J1077" s="229"/>
      <c r="K1077" s="28"/>
      <c r="L1077" s="28"/>
      <c r="N1077" s="46"/>
      <c r="O1077" s="46"/>
      <c r="P1077" s="46"/>
      <c r="Q1077" s="46"/>
      <c r="R1077" s="46"/>
      <c r="S1077" s="46"/>
      <c r="T1077" s="46"/>
      <c r="U1077" s="46"/>
      <c r="V1077" s="46"/>
      <c r="W1077" s="46"/>
      <c r="X1077" s="46"/>
      <c r="Y1077" s="46"/>
      <c r="Z1077" s="46"/>
      <c r="AA1077" s="46"/>
    </row>
    <row r="1078" spans="1:27" ht="18.75">
      <c r="A1078" s="323"/>
      <c r="B1078" s="324"/>
      <c r="C1078" s="324"/>
      <c r="D1078" s="324"/>
      <c r="E1078" s="324"/>
      <c r="F1078" s="325" t="s">
        <v>4041</v>
      </c>
      <c r="G1078" s="326"/>
      <c r="H1078" s="327"/>
      <c r="I1078" s="327"/>
      <c r="J1078" s="328" t="str">
        <f>HYPERLINK("https://drive.google.com/drive/folders/17cjTEj96atXL03nhv24VWiJbt5ggXpxz","คำสั่งยกเลิก")</f>
        <v>คำสั่งยกเลิก</v>
      </c>
      <c r="K1078" s="329"/>
      <c r="L1078" s="329"/>
      <c r="M1078" s="330"/>
      <c r="N1078" s="331"/>
      <c r="O1078" s="331"/>
      <c r="P1078" s="331"/>
      <c r="Q1078" s="331"/>
      <c r="R1078" s="331"/>
      <c r="S1078" s="331"/>
      <c r="T1078" s="331"/>
      <c r="U1078" s="331"/>
      <c r="V1078" s="331"/>
      <c r="W1078" s="331"/>
      <c r="X1078" s="331"/>
      <c r="Y1078" s="331"/>
      <c r="Z1078" s="331"/>
      <c r="AA1078" s="331"/>
    </row>
    <row r="1079" spans="1:27" ht="56.25">
      <c r="A1079" s="17" t="s">
        <v>72</v>
      </c>
      <c r="B1079" s="20">
        <v>2320</v>
      </c>
      <c r="C1079" s="21" t="s">
        <v>63</v>
      </c>
      <c r="D1079" s="44" t="s">
        <v>139</v>
      </c>
      <c r="E1079" s="21">
        <v>57</v>
      </c>
      <c r="F1079" s="46" t="s">
        <v>4042</v>
      </c>
      <c r="G1079" s="26" t="s">
        <v>28</v>
      </c>
      <c r="H1079" s="47">
        <v>1980000</v>
      </c>
      <c r="I1079" s="28"/>
      <c r="J1079" s="229" t="str">
        <f>HYPERLINK("https://drive.google.com/open?id=0B2rLR4BADrBtbWM3dVRyc3d0dVk","2320")</f>
        <v>2320</v>
      </c>
      <c r="K1079" s="49"/>
      <c r="L1079" s="51"/>
      <c r="M1079" s="87" t="s">
        <v>4043</v>
      </c>
      <c r="N1079" s="32"/>
      <c r="O1079" s="32"/>
      <c r="P1079" s="32"/>
      <c r="Q1079" s="32"/>
      <c r="R1079" s="32"/>
      <c r="S1079" s="32"/>
      <c r="T1079" s="34">
        <v>20</v>
      </c>
      <c r="U1079" s="34">
        <f t="shared" ref="U1079:U1088" si="25">E1079+T1079-2+2500</f>
        <v>2575</v>
      </c>
      <c r="V1079" s="36" t="str">
        <f t="shared" ref="V1079:V1107" si="26">LEFT(B1079, SEARCH("",B1079,2))</f>
        <v>23</v>
      </c>
      <c r="W1079" s="39" t="e">
        <f>COUNTIF('[1]ทดสอบแก้ไขจากการประชุม 12-02-62'!$V$4:$V$283,V1079)-1</f>
        <v>#VALUE!</v>
      </c>
      <c r="X1079" s="40"/>
      <c r="Y1079" s="40"/>
      <c r="Z1079" s="40"/>
      <c r="AA1079" s="40"/>
    </row>
    <row r="1080" spans="1:27" ht="56.25">
      <c r="A1080" s="17" t="s">
        <v>72</v>
      </c>
      <c r="B1080" s="71">
        <v>2320</v>
      </c>
      <c r="C1080" s="63" t="s">
        <v>63</v>
      </c>
      <c r="D1080" s="72" t="s">
        <v>150</v>
      </c>
      <c r="E1080" s="73">
        <v>60</v>
      </c>
      <c r="F1080" s="74" t="s">
        <v>4044</v>
      </c>
      <c r="G1080" s="75" t="s">
        <v>28</v>
      </c>
      <c r="H1080" s="76">
        <v>950000</v>
      </c>
      <c r="I1080" s="77"/>
      <c r="J1080" s="48" t="str">
        <f>HYPERLINK("https://drive.google.com/open?id=0B2vBTVEfSzItLWJPR09hVkVQVWc","2320")</f>
        <v>2320</v>
      </c>
      <c r="K1080" s="78"/>
      <c r="L1080" s="79"/>
      <c r="M1080" s="87" t="s">
        <v>4045</v>
      </c>
      <c r="N1080" s="32"/>
      <c r="O1080" s="32"/>
      <c r="P1080" s="32"/>
      <c r="Q1080" s="32"/>
      <c r="R1080" s="32"/>
      <c r="S1080" s="32"/>
      <c r="T1080" s="34"/>
      <c r="U1080" s="34">
        <f t="shared" si="25"/>
        <v>2558</v>
      </c>
      <c r="V1080" s="36" t="str">
        <f t="shared" si="26"/>
        <v>23</v>
      </c>
      <c r="W1080" s="39" t="e">
        <f>COUNTIF('[1]ทดสอบแก้ไขจากการประชุม 12-02-62'!$V$4:$V$283,V1080)-1</f>
        <v>#VALUE!</v>
      </c>
      <c r="X1080" s="40"/>
      <c r="Y1080" s="40"/>
      <c r="Z1080" s="40"/>
      <c r="AA1080" s="40"/>
    </row>
    <row r="1081" spans="1:27" ht="56.25">
      <c r="A1081" s="17" t="s">
        <v>72</v>
      </c>
      <c r="B1081" s="71">
        <v>2320</v>
      </c>
      <c r="C1081" s="63" t="s">
        <v>157</v>
      </c>
      <c r="D1081" s="72" t="s">
        <v>158</v>
      </c>
      <c r="E1081" s="73">
        <v>60</v>
      </c>
      <c r="F1081" s="74" t="s">
        <v>159</v>
      </c>
      <c r="G1081" s="75" t="s">
        <v>28</v>
      </c>
      <c r="H1081" s="76">
        <v>140000</v>
      </c>
      <c r="I1081" s="77"/>
      <c r="J1081" s="48" t="str">
        <f>HYPERLINK("https://drive.google.com/open?id=0B2vBTVEfSzItRUdTangtMXRuSUk","2320")</f>
        <v>2320</v>
      </c>
      <c r="K1081" s="78"/>
      <c r="L1081" s="79"/>
      <c r="M1081" s="74"/>
      <c r="N1081" s="32"/>
      <c r="O1081" s="32"/>
      <c r="P1081" s="32"/>
      <c r="Q1081" s="32"/>
      <c r="R1081" s="32"/>
      <c r="S1081" s="32"/>
      <c r="T1081" s="34"/>
      <c r="U1081" s="34">
        <f t="shared" si="25"/>
        <v>2558</v>
      </c>
      <c r="V1081" s="36" t="str">
        <f t="shared" si="26"/>
        <v>23</v>
      </c>
      <c r="W1081" s="39" t="e">
        <f>COUNTIF('[1]ทดสอบแก้ไขจากการประชุม 12-02-62'!$V$4:$V$283,V1081)-1</f>
        <v>#VALUE!</v>
      </c>
      <c r="X1081" s="40"/>
      <c r="Y1081" s="40"/>
      <c r="Z1081" s="40"/>
      <c r="AA1081" s="40"/>
    </row>
    <row r="1082" spans="1:27" ht="56.25">
      <c r="A1082" s="17" t="s">
        <v>72</v>
      </c>
      <c r="B1082" s="20">
        <v>2320</v>
      </c>
      <c r="C1082" s="21" t="s">
        <v>63</v>
      </c>
      <c r="D1082" s="66" t="s">
        <v>73</v>
      </c>
      <c r="E1082" s="21">
        <v>52</v>
      </c>
      <c r="F1082" s="46" t="s">
        <v>177</v>
      </c>
      <c r="G1082" s="26" t="s">
        <v>28</v>
      </c>
      <c r="H1082" s="47">
        <v>2650000</v>
      </c>
      <c r="I1082" s="28"/>
      <c r="J1082" s="229" t="str">
        <f>HYPERLINK("https://drive.google.com/open?id=0B2rLR4BADrBtSFg5dGtsNjZwQUU","2320")</f>
        <v>2320</v>
      </c>
      <c r="K1082" s="49"/>
      <c r="L1082" s="51"/>
      <c r="M1082" s="46" t="s">
        <v>4046</v>
      </c>
      <c r="N1082" s="32"/>
      <c r="O1082" s="32"/>
      <c r="P1082" s="32"/>
      <c r="Q1082" s="32"/>
      <c r="R1082" s="32"/>
      <c r="S1082" s="32"/>
      <c r="T1082" s="34">
        <v>20</v>
      </c>
      <c r="U1082" s="34">
        <f t="shared" si="25"/>
        <v>2570</v>
      </c>
      <c r="V1082" s="36" t="str">
        <f t="shared" si="26"/>
        <v>23</v>
      </c>
      <c r="W1082" s="39" t="e">
        <f>COUNTIF('[1]ทดสอบแก้ไขจากการประชุม 12-02-62'!$V$4:$V$283,V1082)-1</f>
        <v>#VALUE!</v>
      </c>
      <c r="X1082" s="40"/>
      <c r="Y1082" s="40"/>
      <c r="Z1082" s="40"/>
      <c r="AA1082" s="40"/>
    </row>
    <row r="1083" spans="1:27" ht="56.25">
      <c r="A1083" s="17" t="s">
        <v>72</v>
      </c>
      <c r="B1083" s="20">
        <v>3416</v>
      </c>
      <c r="C1083" s="21" t="s">
        <v>157</v>
      </c>
      <c r="D1083" s="44" t="s">
        <v>254</v>
      </c>
      <c r="E1083" s="21">
        <v>55</v>
      </c>
      <c r="F1083" s="46" t="s">
        <v>255</v>
      </c>
      <c r="G1083" s="26" t="s">
        <v>78</v>
      </c>
      <c r="H1083" s="47">
        <v>37500</v>
      </c>
      <c r="I1083" s="28"/>
      <c r="J1083" s="229" t="str">
        <f>HYPERLINK("https://drive.google.com/open?id=0B2rLR4BADrBtbnF0U0F3ckpPUFk","3416")</f>
        <v>3416</v>
      </c>
      <c r="K1083" s="49" t="str">
        <f>HYPERLINK("https://drive.google.com/drive/folders/0BwQ57SNHxB3BSXpTY0tPQnA1MVk","3416")</f>
        <v>3416</v>
      </c>
      <c r="L1083" s="51"/>
      <c r="M1083" s="46"/>
      <c r="N1083" s="32"/>
      <c r="O1083" s="32"/>
      <c r="P1083" s="32"/>
      <c r="Q1083" s="32"/>
      <c r="R1083" s="32"/>
      <c r="S1083" s="32"/>
      <c r="T1083" s="83">
        <v>15</v>
      </c>
      <c r="U1083" s="83">
        <f t="shared" si="25"/>
        <v>2568</v>
      </c>
      <c r="V1083" s="36" t="str">
        <f t="shared" si="26"/>
        <v>34</v>
      </c>
      <c r="W1083" s="39">
        <f>COUNTIF($V$4:$V$352,V1083)-1</f>
        <v>-1</v>
      </c>
      <c r="X1083" s="40"/>
      <c r="Y1083" s="40"/>
      <c r="Z1083" s="40"/>
      <c r="AA1083" s="40"/>
    </row>
    <row r="1084" spans="1:27" ht="56.25">
      <c r="A1084" s="17" t="s">
        <v>72</v>
      </c>
      <c r="B1084" s="20">
        <v>3417</v>
      </c>
      <c r="C1084" s="21" t="s">
        <v>157</v>
      </c>
      <c r="D1084" s="44" t="s">
        <v>267</v>
      </c>
      <c r="E1084" s="21">
        <v>55</v>
      </c>
      <c r="F1084" s="46" t="s">
        <v>268</v>
      </c>
      <c r="G1084" s="26" t="s">
        <v>78</v>
      </c>
      <c r="H1084" s="47">
        <v>55000</v>
      </c>
      <c r="I1084" s="28"/>
      <c r="J1084" s="229" t="str">
        <f>HYPERLINK("https://drive.google.com/open?id=0B2rLR4BADrBtdmZ3eldvOXgxZms","3417")</f>
        <v>3417</v>
      </c>
      <c r="K1084" s="49" t="str">
        <f>HYPERLINK("https://drive.google.com/drive/folders/0BwQ57SNHxB3BWFNrS0MwNHpEazg","3417")</f>
        <v>3417</v>
      </c>
      <c r="L1084" s="51"/>
      <c r="M1084" s="46"/>
      <c r="N1084" s="32"/>
      <c r="O1084" s="32"/>
      <c r="P1084" s="32"/>
      <c r="Q1084" s="32"/>
      <c r="R1084" s="32"/>
      <c r="S1084" s="32"/>
      <c r="T1084" s="83">
        <v>15</v>
      </c>
      <c r="U1084" s="83">
        <f t="shared" si="25"/>
        <v>2568</v>
      </c>
      <c r="V1084" s="36" t="str">
        <f t="shared" si="26"/>
        <v>34</v>
      </c>
      <c r="W1084" s="39">
        <f>COUNTIF($V$4:$V$352,V1084)-1</f>
        <v>-1</v>
      </c>
      <c r="X1084" s="40"/>
      <c r="Y1084" s="40"/>
      <c r="Z1084" s="40"/>
      <c r="AA1084" s="40"/>
    </row>
    <row r="1085" spans="1:27" ht="56.25">
      <c r="A1085" s="17" t="s">
        <v>72</v>
      </c>
      <c r="B1085" s="20">
        <v>3442</v>
      </c>
      <c r="C1085" s="21" t="s">
        <v>63</v>
      </c>
      <c r="D1085" s="44" t="s">
        <v>315</v>
      </c>
      <c r="E1085" s="21">
        <v>53</v>
      </c>
      <c r="F1085" s="46" t="s">
        <v>316</v>
      </c>
      <c r="G1085" s="26" t="s">
        <v>53</v>
      </c>
      <c r="H1085" s="47"/>
      <c r="I1085" s="84"/>
      <c r="J1085" s="229" t="str">
        <f>HYPERLINK("https://drive.google.com/open?id=0B2rLR4BADrBtSUVuQV9fUVEyYmc","3442")</f>
        <v>3442</v>
      </c>
      <c r="K1085" s="81" t="str">
        <f>HYPERLINK("https://drive.google.com/drive/folders/0BwQ57SNHxB3BWmotZ1N2X1Z3djQ","3442")</f>
        <v>3442</v>
      </c>
      <c r="L1085" s="82"/>
      <c r="M1085" s="87" t="s">
        <v>4047</v>
      </c>
      <c r="N1085" s="32"/>
      <c r="O1085" s="32"/>
      <c r="P1085" s="32"/>
      <c r="Q1085" s="32"/>
      <c r="R1085" s="32"/>
      <c r="S1085" s="32"/>
      <c r="T1085" s="34">
        <v>15</v>
      </c>
      <c r="U1085" s="34">
        <f t="shared" si="25"/>
        <v>2566</v>
      </c>
      <c r="V1085" s="36" t="str">
        <f t="shared" si="26"/>
        <v>34</v>
      </c>
      <c r="W1085" s="39" t="e">
        <f>COUNTIF('[1]ทดสอบแก้ไขจากการประชุม 12-02-62'!$V$4:$V$283,V1085)-1</f>
        <v>#VALUE!</v>
      </c>
      <c r="X1085" s="40"/>
      <c r="Y1085" s="40"/>
      <c r="Z1085" s="40"/>
      <c r="AA1085" s="40"/>
    </row>
    <row r="1086" spans="1:27" ht="56.25">
      <c r="A1086" s="17" t="s">
        <v>72</v>
      </c>
      <c r="B1086" s="20">
        <v>3805</v>
      </c>
      <c r="C1086" s="21" t="s">
        <v>63</v>
      </c>
      <c r="D1086" s="44" t="s">
        <v>382</v>
      </c>
      <c r="E1086" s="21">
        <v>56</v>
      </c>
      <c r="F1086" s="46" t="s">
        <v>383</v>
      </c>
      <c r="G1086" s="26" t="s">
        <v>28</v>
      </c>
      <c r="H1086" s="47">
        <v>12000000</v>
      </c>
      <c r="I1086" s="28"/>
      <c r="J1086" s="229" t="str">
        <f>HYPERLINK("https://drive.google.com/open?id=0B2rLR4BADrBtS2dmUUxWVkFmRkE","3805")</f>
        <v>3805</v>
      </c>
      <c r="K1086" s="49" t="str">
        <f>HYPERLINK("https://drive.google.com/drive/folders/0BwQ57SNHxB3BcU81M201Vm9ZdkU","3805")</f>
        <v>3805</v>
      </c>
      <c r="L1086" s="51"/>
      <c r="M1086" s="46"/>
      <c r="N1086" s="32"/>
      <c r="O1086" s="32"/>
      <c r="P1086" s="32"/>
      <c r="Q1086" s="32"/>
      <c r="R1086" s="32"/>
      <c r="S1086" s="32"/>
      <c r="T1086" s="34">
        <v>20</v>
      </c>
      <c r="U1086" s="34">
        <f t="shared" si="25"/>
        <v>2574</v>
      </c>
      <c r="V1086" s="36" t="str">
        <f t="shared" si="26"/>
        <v>38</v>
      </c>
      <c r="W1086" s="39">
        <f t="shared" ref="W1086:W1092" si="27">COUNTIF($V$4:$V$352,V1086)-1</f>
        <v>-1</v>
      </c>
      <c r="X1086" s="40"/>
      <c r="Y1086" s="40"/>
      <c r="Z1086" s="40"/>
      <c r="AA1086" s="40"/>
    </row>
    <row r="1087" spans="1:27" ht="56.25">
      <c r="A1087" s="17" t="s">
        <v>72</v>
      </c>
      <c r="B1087" s="20">
        <v>3805</v>
      </c>
      <c r="C1087" s="21" t="s">
        <v>63</v>
      </c>
      <c r="D1087" s="44" t="s">
        <v>394</v>
      </c>
      <c r="E1087" s="21">
        <v>56</v>
      </c>
      <c r="F1087" s="46" t="s">
        <v>395</v>
      </c>
      <c r="G1087" s="26" t="s">
        <v>28</v>
      </c>
      <c r="H1087" s="47">
        <v>7000000</v>
      </c>
      <c r="I1087" s="28"/>
      <c r="J1087" s="229" t="str">
        <f>HYPERLINK("https://drive.google.com/open?id=0B2rLR4BADrBtRHE3TVQ1aV9PbTA","3805")</f>
        <v>3805</v>
      </c>
      <c r="K1087" s="49" t="str">
        <f>HYPERLINK("https://drive.google.com/drive/folders/0BwQ57SNHxB3BcU81M201Vm9ZdkU","3805")</f>
        <v>3805</v>
      </c>
      <c r="L1087" s="51"/>
      <c r="M1087" s="46"/>
      <c r="N1087" s="32"/>
      <c r="O1087" s="32"/>
      <c r="P1087" s="32"/>
      <c r="Q1087" s="32"/>
      <c r="R1087" s="32"/>
      <c r="S1087" s="32"/>
      <c r="T1087" s="34">
        <v>20</v>
      </c>
      <c r="U1087" s="34">
        <f t="shared" si="25"/>
        <v>2574</v>
      </c>
      <c r="V1087" s="36" t="str">
        <f t="shared" si="26"/>
        <v>38</v>
      </c>
      <c r="W1087" s="39">
        <f t="shared" si="27"/>
        <v>-1</v>
      </c>
      <c r="X1087" s="40"/>
      <c r="Y1087" s="40"/>
      <c r="Z1087" s="40"/>
      <c r="AA1087" s="40"/>
    </row>
    <row r="1088" spans="1:27" ht="75">
      <c r="A1088" s="17" t="s">
        <v>72</v>
      </c>
      <c r="B1088" s="20">
        <v>3805</v>
      </c>
      <c r="C1088" s="21" t="s">
        <v>63</v>
      </c>
      <c r="D1088" s="44" t="s">
        <v>406</v>
      </c>
      <c r="E1088" s="21">
        <v>52</v>
      </c>
      <c r="F1088" s="46" t="s">
        <v>4048</v>
      </c>
      <c r="G1088" s="26" t="s">
        <v>28</v>
      </c>
      <c r="H1088" s="47">
        <v>3300000</v>
      </c>
      <c r="I1088" s="28"/>
      <c r="J1088" s="229" t="str">
        <f>HYPERLINK("https://drive.google.com/open?id=0B2rLR4BADrBtZkZDTTQ0ei1QX2s","3805")</f>
        <v>3805</v>
      </c>
      <c r="K1088" s="49" t="str">
        <f>HYPERLINK("https://drive.google.com/drive/folders/0BwQ57SNHxB3BcU81M201Vm9ZdkU","3805")</f>
        <v>3805</v>
      </c>
      <c r="L1088" s="51"/>
      <c r="M1088" s="87" t="s">
        <v>4049</v>
      </c>
      <c r="N1088" s="32"/>
      <c r="O1088" s="32"/>
      <c r="P1088" s="32"/>
      <c r="Q1088" s="32"/>
      <c r="R1088" s="32"/>
      <c r="S1088" s="32"/>
      <c r="T1088" s="34">
        <v>20</v>
      </c>
      <c r="U1088" s="34">
        <f t="shared" si="25"/>
        <v>2570</v>
      </c>
      <c r="V1088" s="36" t="str">
        <f t="shared" si="26"/>
        <v>38</v>
      </c>
      <c r="W1088" s="39">
        <f t="shared" si="27"/>
        <v>-1</v>
      </c>
      <c r="X1088" s="40"/>
      <c r="Y1088" s="40"/>
      <c r="Z1088" s="40"/>
      <c r="AA1088" s="40"/>
    </row>
    <row r="1089" spans="1:27" ht="56.25">
      <c r="A1089" s="17" t="s">
        <v>72</v>
      </c>
      <c r="B1089" s="20">
        <v>3805</v>
      </c>
      <c r="C1089" s="21" t="s">
        <v>63</v>
      </c>
      <c r="D1089" s="44" t="s">
        <v>421</v>
      </c>
      <c r="E1089" s="21">
        <v>61</v>
      </c>
      <c r="F1089" s="46" t="s">
        <v>422</v>
      </c>
      <c r="G1089" s="26" t="s">
        <v>28</v>
      </c>
      <c r="H1089" s="47">
        <v>3800000</v>
      </c>
      <c r="I1089" s="28"/>
      <c r="J1089" s="229" t="str">
        <f>HYPERLINK("https://drive.google.com/open?id=1jmxiwOGvAv7s9nfhkniwY03NHEKYJM14","3805")</f>
        <v>3805</v>
      </c>
      <c r="K1089" s="49"/>
      <c r="L1089" s="51"/>
      <c r="M1089" s="46"/>
      <c r="N1089" s="32"/>
      <c r="O1089" s="32"/>
      <c r="P1089" s="32"/>
      <c r="Q1089" s="32"/>
      <c r="R1089" s="32"/>
      <c r="S1089" s="32"/>
      <c r="T1089" s="34"/>
      <c r="U1089" s="34"/>
      <c r="V1089" s="36" t="str">
        <f t="shared" si="26"/>
        <v>38</v>
      </c>
      <c r="W1089" s="39">
        <f t="shared" si="27"/>
        <v>-1</v>
      </c>
      <c r="X1089" s="40"/>
      <c r="Y1089" s="40"/>
      <c r="Z1089" s="40"/>
      <c r="AA1089" s="40"/>
    </row>
    <row r="1090" spans="1:27" ht="56.25">
      <c r="A1090" s="17" t="s">
        <v>72</v>
      </c>
      <c r="B1090" s="20">
        <v>3825</v>
      </c>
      <c r="C1090" s="21" t="s">
        <v>63</v>
      </c>
      <c r="D1090" s="44" t="s">
        <v>460</v>
      </c>
      <c r="E1090" s="21">
        <v>53</v>
      </c>
      <c r="F1090" s="46" t="s">
        <v>462</v>
      </c>
      <c r="G1090" s="26" t="s">
        <v>28</v>
      </c>
      <c r="H1090" s="47">
        <v>1250000</v>
      </c>
      <c r="I1090" s="28"/>
      <c r="J1090" s="229" t="str">
        <f>HYPERLINK("https://drive.google.com/open?id=0B2rLR4BADrBtUktlbmZpb09vX2s","3825")</f>
        <v>3825</v>
      </c>
      <c r="K1090" s="49" t="str">
        <f>HYPERLINK("https://drive.google.com/drive/folders/0BwQ57SNHxB3BVGpIdG9kem1lVGc","3825")</f>
        <v>3825</v>
      </c>
      <c r="L1090" s="51"/>
      <c r="M1090" s="46"/>
      <c r="N1090" s="32"/>
      <c r="O1090" s="32"/>
      <c r="P1090" s="32"/>
      <c r="Q1090" s="32"/>
      <c r="R1090" s="32"/>
      <c r="S1090" s="32"/>
      <c r="T1090" s="34">
        <v>20</v>
      </c>
      <c r="U1090" s="34">
        <f t="shared" ref="U1090:U1107" si="28">E1090+T1090-2+2500</f>
        <v>2571</v>
      </c>
      <c r="V1090" s="36" t="str">
        <f t="shared" si="26"/>
        <v>38</v>
      </c>
      <c r="W1090" s="39">
        <f t="shared" si="27"/>
        <v>-1</v>
      </c>
      <c r="X1090" s="40"/>
      <c r="Y1090" s="40"/>
      <c r="Z1090" s="40"/>
      <c r="AA1090" s="40"/>
    </row>
    <row r="1091" spans="1:27" ht="56.25">
      <c r="A1091" s="17" t="s">
        <v>72</v>
      </c>
      <c r="B1091" s="20">
        <v>3825</v>
      </c>
      <c r="C1091" s="21" t="s">
        <v>63</v>
      </c>
      <c r="D1091" s="44" t="s">
        <v>429</v>
      </c>
      <c r="E1091" s="21">
        <v>54</v>
      </c>
      <c r="F1091" s="74" t="s">
        <v>430</v>
      </c>
      <c r="G1091" s="26" t="s">
        <v>28</v>
      </c>
      <c r="H1091" s="47">
        <v>2400000</v>
      </c>
      <c r="I1091" s="28"/>
      <c r="J1091" s="229" t="str">
        <f>HYPERLINK("https://drive.google.com/open?id=0B2rLR4BADrBtTWpnel9UYU5ma1U","3825")</f>
        <v>3825</v>
      </c>
      <c r="K1091" s="49" t="str">
        <f>HYPERLINK("https://drive.google.com/drive/folders/0BwQ57SNHxB3BVGpIdG9kem1lVGc","3825")</f>
        <v>3825</v>
      </c>
      <c r="L1091" s="51"/>
      <c r="M1091" s="46"/>
      <c r="N1091" s="32"/>
      <c r="O1091" s="32"/>
      <c r="P1091" s="32"/>
      <c r="Q1091" s="32"/>
      <c r="R1091" s="32"/>
      <c r="S1091" s="32"/>
      <c r="T1091" s="34">
        <v>20</v>
      </c>
      <c r="U1091" s="34">
        <f t="shared" si="28"/>
        <v>2572</v>
      </c>
      <c r="V1091" s="36" t="str">
        <f t="shared" si="26"/>
        <v>38</v>
      </c>
      <c r="W1091" s="39">
        <f t="shared" si="27"/>
        <v>-1</v>
      </c>
      <c r="X1091" s="40"/>
      <c r="Y1091" s="40"/>
      <c r="Z1091" s="40"/>
      <c r="AA1091" s="40"/>
    </row>
    <row r="1092" spans="1:27" ht="56.25">
      <c r="A1092" s="17" t="s">
        <v>72</v>
      </c>
      <c r="B1092" s="20">
        <v>3895</v>
      </c>
      <c r="C1092" s="21" t="s">
        <v>63</v>
      </c>
      <c r="D1092" s="44" t="s">
        <v>481</v>
      </c>
      <c r="E1092" s="21">
        <v>53</v>
      </c>
      <c r="F1092" s="46" t="s">
        <v>482</v>
      </c>
      <c r="G1092" s="26" t="s">
        <v>78</v>
      </c>
      <c r="H1092" s="47">
        <v>50000</v>
      </c>
      <c r="I1092" s="28"/>
      <c r="J1092" s="229" t="str">
        <f>HYPERLINK("https://drive.google.com/open?id=0B2rLR4BADrBtNk8wWGpPcnVOSkk","3895")</f>
        <v>3895</v>
      </c>
      <c r="K1092" s="49" t="str">
        <f>HYPERLINK("https://drive.google.com/drive/folders/0BwQ57SNHxB3BWEtyNkZyTzdPNXM","3895")</f>
        <v>3895</v>
      </c>
      <c r="L1092" s="51"/>
      <c r="M1092" s="46"/>
      <c r="N1092" s="32"/>
      <c r="O1092" s="32"/>
      <c r="P1092" s="32"/>
      <c r="Q1092" s="32"/>
      <c r="R1092" s="32"/>
      <c r="S1092" s="32"/>
      <c r="T1092" s="34">
        <v>20</v>
      </c>
      <c r="U1092" s="34">
        <f t="shared" si="28"/>
        <v>2571</v>
      </c>
      <c r="V1092" s="36" t="str">
        <f t="shared" si="26"/>
        <v>38</v>
      </c>
      <c r="W1092" s="39">
        <f t="shared" si="27"/>
        <v>-1</v>
      </c>
      <c r="X1092" s="40"/>
      <c r="Y1092" s="40"/>
      <c r="Z1092" s="40"/>
      <c r="AA1092" s="40"/>
    </row>
    <row r="1093" spans="1:27" ht="56.25">
      <c r="A1093" s="17" t="s">
        <v>72</v>
      </c>
      <c r="B1093" s="20">
        <v>3895</v>
      </c>
      <c r="C1093" s="21" t="s">
        <v>63</v>
      </c>
      <c r="D1093" s="44" t="s">
        <v>485</v>
      </c>
      <c r="E1093" s="21">
        <v>57</v>
      </c>
      <c r="F1093" s="24" t="s">
        <v>486</v>
      </c>
      <c r="G1093" s="26" t="s">
        <v>78</v>
      </c>
      <c r="H1093" s="47">
        <v>20000</v>
      </c>
      <c r="I1093" s="28"/>
      <c r="J1093" s="229" t="str">
        <f>HYPERLINK("https://drive.google.com/open?id=0B2rLR4BADrBtSl9wRW1DOGpOZmc","3895")</f>
        <v>3895</v>
      </c>
      <c r="K1093" s="49" t="str">
        <f>HYPERLINK("https://drive.google.com/drive/folders/0BwQ57SNHxB3BWEtyNkZyTzdPNXM","3895")</f>
        <v>3895</v>
      </c>
      <c r="L1093" s="51"/>
      <c r="M1093" s="24"/>
      <c r="N1093" s="32"/>
      <c r="O1093" s="32"/>
      <c r="P1093" s="32"/>
      <c r="Q1093" s="32"/>
      <c r="R1093" s="32"/>
      <c r="S1093" s="32"/>
      <c r="T1093" s="34">
        <v>20</v>
      </c>
      <c r="U1093" s="34">
        <f t="shared" si="28"/>
        <v>2575</v>
      </c>
      <c r="V1093" s="36" t="str">
        <f t="shared" si="26"/>
        <v>38</v>
      </c>
      <c r="W1093" s="39" t="e">
        <f>COUNTIF('[1]ทดสอบแก้ไขจากการประชุม 12-02-62'!$V$4:$V$283,V1093)-1</f>
        <v>#VALUE!</v>
      </c>
      <c r="X1093" s="40"/>
      <c r="Y1093" s="40"/>
      <c r="Z1093" s="40"/>
      <c r="AA1093" s="40"/>
    </row>
    <row r="1094" spans="1:27" ht="56.25">
      <c r="A1094" s="17" t="s">
        <v>72</v>
      </c>
      <c r="B1094" s="20">
        <v>3895</v>
      </c>
      <c r="C1094" s="21" t="s">
        <v>63</v>
      </c>
      <c r="D1094" s="44" t="s">
        <v>493</v>
      </c>
      <c r="E1094" s="21">
        <v>53</v>
      </c>
      <c r="F1094" s="46" t="s">
        <v>494</v>
      </c>
      <c r="G1094" s="26" t="s">
        <v>78</v>
      </c>
      <c r="H1094" s="47">
        <v>45000</v>
      </c>
      <c r="I1094" s="28"/>
      <c r="J1094" s="229" t="str">
        <f>HYPERLINK("https://drive.google.com/open?id=0B2rLR4BADrBtUXhCZFQ2TlNzaEE","3895")</f>
        <v>3895</v>
      </c>
      <c r="K1094" s="49" t="str">
        <f>HYPERLINK("https://drive.google.com/drive/folders/0BwQ57SNHxB3BWEtyNkZyTzdPNXM","3895")</f>
        <v>3895</v>
      </c>
      <c r="L1094" s="51"/>
      <c r="M1094" s="46"/>
      <c r="N1094" s="32"/>
      <c r="O1094" s="32"/>
      <c r="P1094" s="32"/>
      <c r="Q1094" s="32"/>
      <c r="R1094" s="32"/>
      <c r="S1094" s="32"/>
      <c r="T1094" s="34">
        <v>20</v>
      </c>
      <c r="U1094" s="34">
        <f t="shared" si="28"/>
        <v>2571</v>
      </c>
      <c r="V1094" s="36" t="str">
        <f t="shared" si="26"/>
        <v>38</v>
      </c>
      <c r="W1094" s="39" t="e">
        <f>COUNTIF('[1]ทดสอบแก้ไขจากการประชุม 12-02-62'!$V$4:$V$283,V1094)-1</f>
        <v>#VALUE!</v>
      </c>
      <c r="X1094" s="40"/>
      <c r="Y1094" s="40"/>
      <c r="Z1094" s="40"/>
      <c r="AA1094" s="40"/>
    </row>
    <row r="1095" spans="1:27" ht="56.25">
      <c r="A1095" s="17" t="s">
        <v>72</v>
      </c>
      <c r="B1095" s="20">
        <v>3895</v>
      </c>
      <c r="C1095" s="21" t="s">
        <v>63</v>
      </c>
      <c r="D1095" s="44" t="s">
        <v>507</v>
      </c>
      <c r="E1095" s="21">
        <v>56</v>
      </c>
      <c r="F1095" s="46" t="s">
        <v>508</v>
      </c>
      <c r="G1095" s="26" t="s">
        <v>78</v>
      </c>
      <c r="H1095" s="47">
        <v>14000000</v>
      </c>
      <c r="I1095" s="28"/>
      <c r="J1095" s="229" t="str">
        <f>HYPERLINK("https://drive.google.com/open?id=0B2rLR4BADrBtbFRsWjFuVlYyeW8","3895")</f>
        <v>3895</v>
      </c>
      <c r="K1095" s="49" t="str">
        <f>HYPERLINK("https://drive.google.com/drive/folders/0BwQ57SNHxB3BWEtyNkZyTzdPNXM","3895")</f>
        <v>3895</v>
      </c>
      <c r="L1095" s="51"/>
      <c r="M1095" s="46"/>
      <c r="N1095" s="32"/>
      <c r="O1095" s="32"/>
      <c r="P1095" s="32"/>
      <c r="Q1095" s="32"/>
      <c r="R1095" s="32"/>
      <c r="S1095" s="32"/>
      <c r="T1095" s="34">
        <v>20</v>
      </c>
      <c r="U1095" s="34">
        <f t="shared" si="28"/>
        <v>2574</v>
      </c>
      <c r="V1095" s="36" t="str">
        <f t="shared" si="26"/>
        <v>38</v>
      </c>
      <c r="W1095" s="39">
        <f>COUNTIF($V$4:$V$352,V1095)-1</f>
        <v>-1</v>
      </c>
      <c r="X1095" s="40"/>
      <c r="Y1095" s="40"/>
      <c r="Z1095" s="40"/>
      <c r="AA1095" s="40"/>
    </row>
    <row r="1096" spans="1:27" ht="56.25">
      <c r="A1096" s="17" t="s">
        <v>72</v>
      </c>
      <c r="B1096" s="20">
        <v>3930</v>
      </c>
      <c r="C1096" s="21" t="s">
        <v>63</v>
      </c>
      <c r="D1096" s="44" t="s">
        <v>563</v>
      </c>
      <c r="E1096" s="21">
        <v>55</v>
      </c>
      <c r="F1096" s="46" t="s">
        <v>4050</v>
      </c>
      <c r="G1096" s="26" t="s">
        <v>28</v>
      </c>
      <c r="H1096" s="47">
        <v>1330000</v>
      </c>
      <c r="I1096" s="28"/>
      <c r="J1096" s="229" t="str">
        <f>HYPERLINK("https://drive.google.com/open?id=0B2rLR4BADrBtaWgtXzFaNmhNVTQ","3930")</f>
        <v>3930</v>
      </c>
      <c r="K1096" s="81" t="str">
        <f>HYPERLINK("https://drive.google.com/drive/folders/0BwQ57SNHxB3BeGVndk5nUS1tN3c","3930")</f>
        <v>3930</v>
      </c>
      <c r="L1096" s="82"/>
      <c r="M1096" s="87" t="s">
        <v>4051</v>
      </c>
      <c r="N1096" s="32"/>
      <c r="O1096" s="32"/>
      <c r="P1096" s="32"/>
      <c r="Q1096" s="32"/>
      <c r="R1096" s="32"/>
      <c r="S1096" s="32"/>
      <c r="T1096" s="34">
        <v>20</v>
      </c>
      <c r="U1096" s="34">
        <f t="shared" si="28"/>
        <v>2573</v>
      </c>
      <c r="V1096" s="36" t="str">
        <f t="shared" si="26"/>
        <v>39</v>
      </c>
      <c r="W1096" s="39">
        <f>COUNTIF($V$4:$V$352,V1096)-1</f>
        <v>-1</v>
      </c>
      <c r="X1096" s="40"/>
      <c r="Y1096" s="40"/>
      <c r="Z1096" s="40"/>
      <c r="AA1096" s="40"/>
    </row>
    <row r="1097" spans="1:27" ht="56.25">
      <c r="A1097" s="17" t="s">
        <v>72</v>
      </c>
      <c r="B1097" s="20">
        <v>3940</v>
      </c>
      <c r="C1097" s="21" t="s">
        <v>157</v>
      </c>
      <c r="D1097" s="44" t="s">
        <v>519</v>
      </c>
      <c r="E1097" s="21">
        <v>53</v>
      </c>
      <c r="F1097" s="46" t="s">
        <v>590</v>
      </c>
      <c r="G1097" s="26" t="s">
        <v>48</v>
      </c>
      <c r="H1097" s="47">
        <v>4500</v>
      </c>
      <c r="I1097" s="28"/>
      <c r="J1097" s="229" t="str">
        <f>HYPERLINK("https://drive.google.com/open?id=0B2rLR4BADrBtMzg0V3Q0LUVxUlE","3940")</f>
        <v>3940</v>
      </c>
      <c r="K1097" s="49" t="str">
        <f>HYPERLINK("https://drive.google.com/drive/folders/0BwQ57SNHxB3Bb0pMMEVXZzJSZHM","3940")</f>
        <v>3940</v>
      </c>
      <c r="L1097" s="51"/>
      <c r="M1097" s="46"/>
      <c r="N1097" s="32"/>
      <c r="O1097" s="32"/>
      <c r="P1097" s="32"/>
      <c r="Q1097" s="32"/>
      <c r="R1097" s="32"/>
      <c r="S1097" s="32"/>
      <c r="T1097" s="34">
        <v>20</v>
      </c>
      <c r="U1097" s="34">
        <f t="shared" si="28"/>
        <v>2571</v>
      </c>
      <c r="V1097" s="36" t="str">
        <f t="shared" si="26"/>
        <v>39</v>
      </c>
      <c r="W1097" s="39">
        <f>COUNTIF($V$4:$V$352,V1097)-1</f>
        <v>-1</v>
      </c>
      <c r="X1097" s="40"/>
      <c r="Y1097" s="40"/>
      <c r="Z1097" s="40"/>
      <c r="AA1097" s="40"/>
    </row>
    <row r="1098" spans="1:27" ht="56.25">
      <c r="A1098" s="17" t="s">
        <v>72</v>
      </c>
      <c r="B1098" s="20">
        <v>3960</v>
      </c>
      <c r="C1098" s="21" t="s">
        <v>157</v>
      </c>
      <c r="D1098" s="44" t="s">
        <v>598</v>
      </c>
      <c r="E1098" s="21">
        <v>54</v>
      </c>
      <c r="F1098" s="46" t="s">
        <v>599</v>
      </c>
      <c r="G1098" s="75" t="s">
        <v>78</v>
      </c>
      <c r="H1098" s="47">
        <v>500000</v>
      </c>
      <c r="I1098" s="28"/>
      <c r="J1098" s="229" t="str">
        <f>HYPERLINK("https://drive.google.com/open?id=0B2rLR4BADrBtcGZtQTNHR1g0Z0k","3960")</f>
        <v>3960</v>
      </c>
      <c r="K1098" s="49" t="str">
        <f>HYPERLINK("https://drive.google.com/drive/folders/0BwN2QqBc2z4QfmtGczM5ejJFYWlnLVRfN05Gd0RFTVlhNWZxOHc3UFdCZWtranBmemVLd0E","3960")</f>
        <v>3960</v>
      </c>
      <c r="L1098" s="51"/>
      <c r="M1098" s="46"/>
      <c r="N1098" s="32"/>
      <c r="O1098" s="32"/>
      <c r="P1098" s="32"/>
      <c r="Q1098" s="32"/>
      <c r="R1098" s="32"/>
      <c r="S1098" s="32"/>
      <c r="T1098" s="34">
        <v>20</v>
      </c>
      <c r="U1098" s="34">
        <f t="shared" si="28"/>
        <v>2572</v>
      </c>
      <c r="V1098" s="36" t="str">
        <f t="shared" si="26"/>
        <v>39</v>
      </c>
      <c r="W1098" s="39" t="e">
        <f>COUNTIF('[1]ทดสอบแก้ไขจากการประชุม 12-02-62'!$V$4:$V$283,V1098)-1</f>
        <v>#VALUE!</v>
      </c>
      <c r="X1098" s="40"/>
      <c r="Y1098" s="40"/>
      <c r="Z1098" s="40"/>
      <c r="AA1098" s="40"/>
    </row>
    <row r="1099" spans="1:27" ht="75">
      <c r="A1099" s="17" t="s">
        <v>72</v>
      </c>
      <c r="B1099" s="20">
        <v>3960</v>
      </c>
      <c r="C1099" s="21" t="s">
        <v>157</v>
      </c>
      <c r="D1099" s="44" t="s">
        <v>608</v>
      </c>
      <c r="E1099" s="21">
        <v>59</v>
      </c>
      <c r="F1099" s="46" t="s">
        <v>609</v>
      </c>
      <c r="G1099" s="26" t="s">
        <v>48</v>
      </c>
      <c r="H1099" s="47">
        <v>2500000</v>
      </c>
      <c r="I1099" s="28"/>
      <c r="J1099" s="229" t="str">
        <f>HYPERLINK("https://drive.google.com/open?id=0B2vBTVEfSzItd24zOWRNeHljbVU","3960")</f>
        <v>3960</v>
      </c>
      <c r="K1099" s="49" t="str">
        <f>HYPERLINK("https://drive.google.com/drive/folders/0BwN2QqBc2z4QfmtGczM5ejJFYWlnLVRfN05Gd0RFTVlhNWZxOHc3UFdCZWtranBmemVLd0E","3960")</f>
        <v>3960</v>
      </c>
      <c r="L1099" s="51"/>
      <c r="M1099" s="87" t="s">
        <v>4052</v>
      </c>
      <c r="N1099" s="32"/>
      <c r="O1099" s="32"/>
      <c r="P1099" s="32"/>
      <c r="Q1099" s="32"/>
      <c r="R1099" s="32"/>
      <c r="S1099" s="32"/>
      <c r="T1099" s="34"/>
      <c r="U1099" s="34">
        <f t="shared" si="28"/>
        <v>2557</v>
      </c>
      <c r="V1099" s="36" t="str">
        <f t="shared" si="26"/>
        <v>39</v>
      </c>
      <c r="W1099" s="39">
        <f t="shared" ref="W1099:W1105" si="29">COUNTIF($V$4:$V$352,V1099)-1</f>
        <v>-1</v>
      </c>
      <c r="X1099" s="40"/>
      <c r="Y1099" s="40"/>
      <c r="Z1099" s="40"/>
      <c r="AA1099" s="40"/>
    </row>
    <row r="1100" spans="1:27" ht="75">
      <c r="A1100" s="17" t="s">
        <v>72</v>
      </c>
      <c r="B1100" s="20">
        <v>3960</v>
      </c>
      <c r="C1100" s="21" t="s">
        <v>157</v>
      </c>
      <c r="D1100" s="44" t="s">
        <v>620</v>
      </c>
      <c r="E1100" s="21">
        <v>59</v>
      </c>
      <c r="F1100" s="46" t="s">
        <v>621</v>
      </c>
      <c r="G1100" s="26" t="s">
        <v>48</v>
      </c>
      <c r="H1100" s="47">
        <v>3500000</v>
      </c>
      <c r="I1100" s="28"/>
      <c r="J1100" s="229" t="str">
        <f>HYPERLINK("https://drive.google.com/open?id=0B2vBTVEfSzItOHJpX2NUQ29WWU0","3960")</f>
        <v>3960</v>
      </c>
      <c r="K1100" s="81"/>
      <c r="L1100" s="82"/>
      <c r="M1100" s="87" t="s">
        <v>4052</v>
      </c>
      <c r="N1100" s="32"/>
      <c r="O1100" s="32"/>
      <c r="P1100" s="32"/>
      <c r="Q1100" s="32"/>
      <c r="R1100" s="32"/>
      <c r="S1100" s="32"/>
      <c r="T1100" s="34"/>
      <c r="U1100" s="34">
        <f t="shared" si="28"/>
        <v>2557</v>
      </c>
      <c r="V1100" s="36" t="str">
        <f t="shared" si="26"/>
        <v>39</v>
      </c>
      <c r="W1100" s="39">
        <f t="shared" si="29"/>
        <v>-1</v>
      </c>
      <c r="X1100" s="40"/>
      <c r="Y1100" s="40"/>
      <c r="Z1100" s="40"/>
      <c r="AA1100" s="40"/>
    </row>
    <row r="1101" spans="1:27" ht="75">
      <c r="A1101" s="17" t="s">
        <v>72</v>
      </c>
      <c r="B1101" s="20">
        <v>3960</v>
      </c>
      <c r="C1101" s="63" t="s">
        <v>157</v>
      </c>
      <c r="D1101" s="44" t="s">
        <v>626</v>
      </c>
      <c r="E1101" s="63">
        <v>60</v>
      </c>
      <c r="F1101" s="74" t="s">
        <v>628</v>
      </c>
      <c r="G1101" s="75" t="s">
        <v>273</v>
      </c>
      <c r="H1101" s="85">
        <v>1500000</v>
      </c>
      <c r="I1101" s="84"/>
      <c r="J1101" s="229" t="str">
        <f>HYPERLINK("https://drive.google.com/open?id=0B2vBTVEfSzItaXVLeUdiVDhBYXc","3960")</f>
        <v>3960</v>
      </c>
      <c r="K1101" s="81"/>
      <c r="L1101" s="82"/>
      <c r="M1101" s="87" t="s">
        <v>4052</v>
      </c>
      <c r="N1101" s="32"/>
      <c r="O1101" s="32"/>
      <c r="P1101" s="32"/>
      <c r="Q1101" s="32"/>
      <c r="R1101" s="32"/>
      <c r="S1101" s="32"/>
      <c r="T1101" s="34"/>
      <c r="U1101" s="34">
        <f t="shared" si="28"/>
        <v>2558</v>
      </c>
      <c r="V1101" s="36" t="str">
        <f t="shared" si="26"/>
        <v>39</v>
      </c>
      <c r="W1101" s="39">
        <f t="shared" si="29"/>
        <v>-1</v>
      </c>
      <c r="X1101" s="40"/>
      <c r="Y1101" s="40"/>
      <c r="Z1101" s="40"/>
      <c r="AA1101" s="40"/>
    </row>
    <row r="1102" spans="1:27" ht="75">
      <c r="A1102" s="17" t="s">
        <v>72</v>
      </c>
      <c r="B1102" s="20">
        <v>3960</v>
      </c>
      <c r="C1102" s="21" t="s">
        <v>157</v>
      </c>
      <c r="D1102" s="44" t="s">
        <v>635</v>
      </c>
      <c r="E1102" s="21">
        <v>60</v>
      </c>
      <c r="F1102" s="46" t="s">
        <v>636</v>
      </c>
      <c r="G1102" s="26" t="s">
        <v>48</v>
      </c>
      <c r="H1102" s="47">
        <v>1850000</v>
      </c>
      <c r="I1102" s="28"/>
      <c r="J1102" s="229" t="str">
        <f>HYPERLINK("https://drive.google.com/open?id=0B2vBTVEfSzItUUFIMDZPOUljYTg","3960")</f>
        <v>3960</v>
      </c>
      <c r="K1102" s="81"/>
      <c r="L1102" s="82"/>
      <c r="M1102" s="87" t="s">
        <v>4052</v>
      </c>
      <c r="N1102" s="32"/>
      <c r="O1102" s="32"/>
      <c r="P1102" s="32"/>
      <c r="Q1102" s="32"/>
      <c r="R1102" s="32"/>
      <c r="S1102" s="32"/>
      <c r="T1102" s="34"/>
      <c r="U1102" s="34">
        <f t="shared" si="28"/>
        <v>2558</v>
      </c>
      <c r="V1102" s="36" t="str">
        <f t="shared" si="26"/>
        <v>39</v>
      </c>
      <c r="W1102" s="39">
        <f t="shared" si="29"/>
        <v>-1</v>
      </c>
      <c r="X1102" s="40"/>
      <c r="Y1102" s="40"/>
      <c r="Z1102" s="40"/>
      <c r="AA1102" s="40"/>
    </row>
    <row r="1103" spans="1:27" ht="56.25">
      <c r="A1103" s="17" t="s">
        <v>72</v>
      </c>
      <c r="B1103" s="20">
        <v>4120</v>
      </c>
      <c r="C1103" s="21" t="s">
        <v>157</v>
      </c>
      <c r="D1103" s="44" t="s">
        <v>690</v>
      </c>
      <c r="E1103" s="21">
        <v>59</v>
      </c>
      <c r="F1103" s="46" t="s">
        <v>4053</v>
      </c>
      <c r="G1103" s="26" t="s">
        <v>78</v>
      </c>
      <c r="H1103" s="47">
        <v>53300</v>
      </c>
      <c r="I1103" s="28"/>
      <c r="J1103" s="229" t="str">
        <f>HYPERLINK("https://drive.google.com/open?id=0B2vBTVEfSzItY0hkRGpNRHlia0U","4120")</f>
        <v>4120</v>
      </c>
      <c r="K1103" s="49"/>
      <c r="L1103" s="51"/>
      <c r="M1103" s="46"/>
      <c r="N1103" s="32"/>
      <c r="O1103" s="32"/>
      <c r="P1103" s="32"/>
      <c r="Q1103" s="32"/>
      <c r="R1103" s="32"/>
      <c r="S1103" s="32"/>
      <c r="T1103" s="34"/>
      <c r="U1103" s="34">
        <f t="shared" si="28"/>
        <v>2557</v>
      </c>
      <c r="V1103" s="36" t="str">
        <f t="shared" si="26"/>
        <v>41</v>
      </c>
      <c r="W1103" s="39">
        <f t="shared" si="29"/>
        <v>-1</v>
      </c>
      <c r="X1103" s="40"/>
      <c r="Y1103" s="40"/>
      <c r="Z1103" s="40"/>
      <c r="AA1103" s="40"/>
    </row>
    <row r="1104" spans="1:27" ht="56.25">
      <c r="A1104" s="17" t="s">
        <v>72</v>
      </c>
      <c r="B1104" s="20">
        <v>4120</v>
      </c>
      <c r="C1104" s="21" t="s">
        <v>157</v>
      </c>
      <c r="D1104" s="44" t="s">
        <v>624</v>
      </c>
      <c r="E1104" s="21">
        <v>58</v>
      </c>
      <c r="F1104" s="74" t="s">
        <v>4054</v>
      </c>
      <c r="G1104" s="26" t="s">
        <v>78</v>
      </c>
      <c r="H1104" s="47">
        <v>55900</v>
      </c>
      <c r="I1104" s="28"/>
      <c r="J1104" s="229" t="str">
        <f>HYPERLINK("https://drive.google.com/open?id=0B2vBTVEfSzItVmxEd1dOM2NMaEE","4120")</f>
        <v>4120</v>
      </c>
      <c r="K1104" s="49" t="str">
        <f>HYPERLINK("https://drive.google.com/drive/folders/0BwQ57SNHxB3BRi1zZjFVWHN6b2c","4120")</f>
        <v>4120</v>
      </c>
      <c r="L1104" s="51"/>
      <c r="M1104" s="93"/>
      <c r="N1104" s="32"/>
      <c r="O1104" s="32"/>
      <c r="P1104" s="32"/>
      <c r="Q1104" s="32"/>
      <c r="R1104" s="32"/>
      <c r="S1104" s="32"/>
      <c r="T1104" s="83"/>
      <c r="U1104" s="83">
        <f t="shared" si="28"/>
        <v>2556</v>
      </c>
      <c r="V1104" s="36" t="str">
        <f t="shared" si="26"/>
        <v>41</v>
      </c>
      <c r="W1104" s="39">
        <f t="shared" si="29"/>
        <v>-1</v>
      </c>
      <c r="X1104" s="40"/>
      <c r="Y1104" s="40"/>
      <c r="Z1104" s="40"/>
      <c r="AA1104" s="40"/>
    </row>
    <row r="1105" spans="1:27" ht="56.25">
      <c r="A1105" s="17" t="s">
        <v>72</v>
      </c>
      <c r="B1105" s="20">
        <v>4120</v>
      </c>
      <c r="C1105" s="21" t="s">
        <v>157</v>
      </c>
      <c r="D1105" s="44" t="s">
        <v>700</v>
      </c>
      <c r="E1105" s="21">
        <v>59</v>
      </c>
      <c r="F1105" s="46" t="s">
        <v>4055</v>
      </c>
      <c r="G1105" s="26" t="s">
        <v>78</v>
      </c>
      <c r="H1105" s="47">
        <v>57000</v>
      </c>
      <c r="I1105" s="28"/>
      <c r="J1105" s="229" t="str">
        <f>HYPERLINK("https://drive.google.com/open?id=0B2vBTVEfSzItRl9EUF80RjJQZVk","4120")</f>
        <v>4120</v>
      </c>
      <c r="K1105" s="49"/>
      <c r="L1105" s="51"/>
      <c r="M1105" s="46">
        <v>22454</v>
      </c>
      <c r="N1105" s="32"/>
      <c r="O1105" s="32"/>
      <c r="P1105" s="32"/>
      <c r="Q1105" s="32"/>
      <c r="R1105" s="32"/>
      <c r="S1105" s="32"/>
      <c r="T1105" s="34"/>
      <c r="U1105" s="34">
        <f t="shared" si="28"/>
        <v>2557</v>
      </c>
      <c r="V1105" s="36" t="str">
        <f t="shared" si="26"/>
        <v>41</v>
      </c>
      <c r="W1105" s="39">
        <f t="shared" si="29"/>
        <v>-1</v>
      </c>
      <c r="X1105" s="40"/>
      <c r="Y1105" s="40"/>
      <c r="Z1105" s="40"/>
      <c r="AA1105" s="40"/>
    </row>
    <row r="1106" spans="1:27" ht="56.25">
      <c r="A1106" s="17" t="s">
        <v>72</v>
      </c>
      <c r="B1106" s="20">
        <v>4140</v>
      </c>
      <c r="C1106" s="21" t="s">
        <v>157</v>
      </c>
      <c r="D1106" s="44" t="s">
        <v>716</v>
      </c>
      <c r="E1106" s="21">
        <v>55</v>
      </c>
      <c r="F1106" s="46" t="s">
        <v>128</v>
      </c>
      <c r="G1106" s="26" t="s">
        <v>78</v>
      </c>
      <c r="H1106" s="47">
        <v>75000</v>
      </c>
      <c r="I1106" s="28"/>
      <c r="J1106" s="229" t="str">
        <f>HYPERLINK("https://drive.google.com/open?id=0B2rLR4BADrBtMFlBMm9KbF9ZWlU","4140")</f>
        <v>4140</v>
      </c>
      <c r="K1106" s="49" t="str">
        <f>HYPERLINK("https://drive.google.com/drive/folders/0BwQ57SNHxB3BRHd1bXpsczNtaXM","4140")</f>
        <v>4140</v>
      </c>
      <c r="L1106" s="51"/>
      <c r="M1106" s="46"/>
      <c r="N1106" s="32"/>
      <c r="O1106" s="32"/>
      <c r="P1106" s="32"/>
      <c r="Q1106" s="32"/>
      <c r="R1106" s="32"/>
      <c r="S1106" s="32"/>
      <c r="T1106" s="34">
        <v>15</v>
      </c>
      <c r="U1106" s="34">
        <f t="shared" si="28"/>
        <v>2568</v>
      </c>
      <c r="V1106" s="36" t="str">
        <f t="shared" si="26"/>
        <v>41</v>
      </c>
      <c r="W1106" s="39" t="e">
        <f>COUNTIF('[1]ทดสอบแก้ไขจากการประชุม 12-02-62'!$V$4:$V$283,V1106)-1</f>
        <v>#VALUE!</v>
      </c>
      <c r="X1106" s="40"/>
      <c r="Y1106" s="40"/>
      <c r="Z1106" s="40"/>
      <c r="AA1106" s="40"/>
    </row>
    <row r="1107" spans="1:27" ht="56.25">
      <c r="A1107" s="17" t="s">
        <v>72</v>
      </c>
      <c r="B1107" s="20">
        <v>4210</v>
      </c>
      <c r="C1107" s="21" t="s">
        <v>683</v>
      </c>
      <c r="D1107" s="44" t="s">
        <v>819</v>
      </c>
      <c r="E1107" s="21">
        <v>58</v>
      </c>
      <c r="F1107" s="46" t="s">
        <v>4056</v>
      </c>
      <c r="G1107" s="26" t="s">
        <v>53</v>
      </c>
      <c r="H1107" s="47">
        <v>1000000</v>
      </c>
      <c r="I1107" s="28"/>
      <c r="J1107" s="229" t="str">
        <f>HYPERLINK("https://drive.google.com/drive/folders/0BwQ57SNHxB3BZ0JBUTNZeTg4LUk","4210")</f>
        <v>4210</v>
      </c>
      <c r="K1107" s="49" t="str">
        <f>HYPERLINK("https://drive.google.com/drive/folders/0BwN2QqBc2z4Qfmtfdk5jMzM5Qml2c0t5YmJTblNUU1c4MEItN2tEWDV5MG1WQ0prdHBtWUk","4210")</f>
        <v>4210</v>
      </c>
      <c r="L1107" s="51"/>
      <c r="M1107" s="87" t="s">
        <v>4057</v>
      </c>
      <c r="N1107" s="32"/>
      <c r="O1107" s="32"/>
      <c r="P1107" s="32"/>
      <c r="Q1107" s="32"/>
      <c r="R1107" s="32"/>
      <c r="S1107" s="32"/>
      <c r="T1107" s="34"/>
      <c r="U1107" s="34">
        <f t="shared" si="28"/>
        <v>2556</v>
      </c>
      <c r="V1107" s="36" t="str">
        <f t="shared" si="26"/>
        <v>42</v>
      </c>
      <c r="W1107" s="39">
        <f>COUNTIF($V$4:$V$352,V1107)-1</f>
        <v>-1</v>
      </c>
      <c r="X1107" s="40"/>
      <c r="Y1107" s="40"/>
      <c r="Z1107" s="40"/>
      <c r="AA1107" s="40"/>
    </row>
    <row r="1108" spans="1:27" ht="56.25">
      <c r="A1108" s="17" t="s">
        <v>72</v>
      </c>
      <c r="B1108" s="20">
        <v>4210</v>
      </c>
      <c r="C1108" s="63" t="s">
        <v>683</v>
      </c>
      <c r="D1108" s="44" t="s">
        <v>867</v>
      </c>
      <c r="E1108" s="63">
        <v>62</v>
      </c>
      <c r="F1108" s="95" t="s">
        <v>868</v>
      </c>
      <c r="G1108" s="26" t="s">
        <v>28</v>
      </c>
      <c r="H1108" s="47"/>
      <c r="I1108" s="84"/>
      <c r="J1108" s="229" t="str">
        <f>HYPERLINK("https://drive.google.com/open?id=1OWCx2uqYUUmVeIs7MBkhqy-EKfZGOsQZ","4210")</f>
        <v>4210</v>
      </c>
      <c r="K1108" s="104"/>
      <c r="L1108" s="105"/>
      <c r="M1108" s="87" t="s">
        <v>4058</v>
      </c>
      <c r="N1108" s="32"/>
      <c r="O1108" s="32"/>
      <c r="P1108" s="32"/>
      <c r="Q1108" s="32"/>
      <c r="R1108" s="32"/>
      <c r="S1108" s="32"/>
      <c r="T1108" s="83"/>
      <c r="U1108" s="34"/>
      <c r="V1108" s="36"/>
      <c r="W1108" s="39"/>
      <c r="X1108" s="40"/>
      <c r="Y1108" s="40"/>
      <c r="Z1108" s="40"/>
      <c r="AA1108" s="40"/>
    </row>
    <row r="1109" spans="1:27" ht="56.25">
      <c r="A1109" s="17" t="s">
        <v>72</v>
      </c>
      <c r="B1109" s="20">
        <v>4210</v>
      </c>
      <c r="C1109" s="63" t="s">
        <v>683</v>
      </c>
      <c r="D1109" s="44" t="s">
        <v>879</v>
      </c>
      <c r="E1109" s="63">
        <v>62</v>
      </c>
      <c r="F1109" s="46" t="s">
        <v>4059</v>
      </c>
      <c r="G1109" s="26" t="s">
        <v>704</v>
      </c>
      <c r="H1109" s="85">
        <v>3200000</v>
      </c>
      <c r="I1109" s="84"/>
      <c r="J1109" s="229" t="str">
        <f>HYPERLINK("https://drive.google.com/open?id=1z_K_7arf3QU-qqS_2Uf0tpiTSU0gobn1","4210")</f>
        <v>4210</v>
      </c>
      <c r="K1109" s="104"/>
      <c r="L1109" s="105"/>
      <c r="M1109" s="332">
        <v>43508</v>
      </c>
      <c r="N1109" s="32"/>
      <c r="O1109" s="32"/>
      <c r="P1109" s="32"/>
      <c r="Q1109" s="32"/>
      <c r="R1109" s="32"/>
      <c r="S1109" s="32"/>
      <c r="T1109" s="83"/>
      <c r="U1109" s="34"/>
      <c r="V1109" s="36"/>
      <c r="W1109" s="39"/>
      <c r="X1109" s="40"/>
      <c r="Y1109" s="40"/>
      <c r="Z1109" s="40"/>
      <c r="AA1109" s="40"/>
    </row>
    <row r="1110" spans="1:27" ht="56.25">
      <c r="A1110" s="17" t="s">
        <v>72</v>
      </c>
      <c r="B1110" s="20">
        <v>4210</v>
      </c>
      <c r="C1110" s="21" t="s">
        <v>683</v>
      </c>
      <c r="D1110" s="44" t="s">
        <v>886</v>
      </c>
      <c r="E1110" s="21">
        <v>52</v>
      </c>
      <c r="F1110" s="46" t="s">
        <v>4060</v>
      </c>
      <c r="G1110" s="26" t="s">
        <v>707</v>
      </c>
      <c r="H1110" s="47">
        <v>14700</v>
      </c>
      <c r="I1110" s="28"/>
      <c r="J1110" s="229" t="str">
        <f>HYPERLINK("https://drive.google.com/open?id=0B2rLR4BADrBtUW40eldLdmxwaU0","4210")</f>
        <v>4210</v>
      </c>
      <c r="K1110" s="49" t="str">
        <f>HYPERLINK("https://drive.google.com/drive/folders/0BwN2QqBc2z4Qfmtfdk5jMzM5Qml2c0t5YmJTblNUU1c4MEItN2tEWDV5MG1WQ0prdHBtWUk","4210")</f>
        <v>4210</v>
      </c>
      <c r="L1110" s="51"/>
      <c r="M1110" s="87" t="s">
        <v>4061</v>
      </c>
      <c r="N1110" s="32"/>
      <c r="O1110" s="32"/>
      <c r="P1110" s="32"/>
      <c r="Q1110" s="32"/>
      <c r="R1110" s="32"/>
      <c r="S1110" s="32"/>
      <c r="T1110" s="34">
        <v>10</v>
      </c>
      <c r="U1110" s="34">
        <f>E1110+T1110-2+2500</f>
        <v>2560</v>
      </c>
      <c r="V1110" s="36" t="str">
        <f>LEFT(B1110, SEARCH("",B1110,2))</f>
        <v>42</v>
      </c>
      <c r="W1110" s="39">
        <f>COUNTIF($V$4:$V$352,V1110)-1</f>
        <v>-1</v>
      </c>
      <c r="X1110" s="40"/>
      <c r="Y1110" s="40"/>
      <c r="Z1110" s="40"/>
      <c r="AA1110" s="40"/>
    </row>
    <row r="1111" spans="1:27" ht="56.25">
      <c r="A1111" s="17" t="s">
        <v>72</v>
      </c>
      <c r="B1111" s="20">
        <v>4210</v>
      </c>
      <c r="C1111" s="21" t="s">
        <v>683</v>
      </c>
      <c r="D1111" s="44" t="s">
        <v>889</v>
      </c>
      <c r="E1111" s="21">
        <v>52</v>
      </c>
      <c r="F1111" s="46" t="s">
        <v>4062</v>
      </c>
      <c r="G1111" s="26" t="s">
        <v>707</v>
      </c>
      <c r="H1111" s="47">
        <v>16200</v>
      </c>
      <c r="I1111" s="28"/>
      <c r="J1111" s="229" t="str">
        <f>HYPERLINK("https://drive.google.com/open?id=0B2rLR4BADrBtNWYxQjhIbUphMjA","4210")</f>
        <v>4210</v>
      </c>
      <c r="K1111" s="49" t="str">
        <f>HYPERLINK("https://drive.google.com/drive/folders/0BwN2QqBc2z4Qfmtfdk5jMzM5Qml2c0t5YmJTblNUU1c4MEItN2tEWDV5MG1WQ0prdHBtWUk","4210")</f>
        <v>4210</v>
      </c>
      <c r="L1111" s="51"/>
      <c r="M1111" s="87" t="s">
        <v>4063</v>
      </c>
      <c r="N1111" s="32"/>
      <c r="O1111" s="32"/>
      <c r="P1111" s="32"/>
      <c r="Q1111" s="32"/>
      <c r="R1111" s="32"/>
      <c r="S1111" s="32"/>
      <c r="T1111" s="34">
        <v>10</v>
      </c>
      <c r="U1111" s="34">
        <f>E1111+T1111-2+2500</f>
        <v>2560</v>
      </c>
      <c r="V1111" s="36" t="str">
        <f>LEFT(B1111, SEARCH("",B1111,2))</f>
        <v>42</v>
      </c>
      <c r="W1111" s="39">
        <f>COUNTIF($V$4:$V$352,V1111)-1</f>
        <v>-1</v>
      </c>
      <c r="X1111" s="40"/>
      <c r="Y1111" s="40"/>
      <c r="Z1111" s="40"/>
      <c r="AA1111" s="40"/>
    </row>
    <row r="1112" spans="1:27" ht="56.25">
      <c r="A1112" s="17" t="s">
        <v>72</v>
      </c>
      <c r="B1112" s="20">
        <v>4310</v>
      </c>
      <c r="C1112" s="21" t="s">
        <v>157</v>
      </c>
      <c r="D1112" s="44" t="s">
        <v>919</v>
      </c>
      <c r="E1112" s="21">
        <v>62</v>
      </c>
      <c r="F1112" s="86" t="s">
        <v>920</v>
      </c>
      <c r="G1112" s="26" t="s">
        <v>78</v>
      </c>
      <c r="H1112" s="47">
        <v>6500</v>
      </c>
      <c r="I1112" s="28"/>
      <c r="J1112" s="320" t="str">
        <f>HYPERLINK("https://drive.google.com/file/d/1ILZljPpIZWE8jrcCQPNGSaohSHqrHsgq/view?usp=sharing","4310")</f>
        <v>4310</v>
      </c>
      <c r="K1112" s="49"/>
      <c r="L1112" s="51"/>
      <c r="M1112" s="95"/>
      <c r="N1112" s="32"/>
      <c r="O1112" s="32"/>
      <c r="P1112" s="32"/>
      <c r="Q1112" s="32"/>
      <c r="R1112" s="32"/>
      <c r="S1112" s="32"/>
      <c r="T1112" s="34"/>
      <c r="U1112" s="34"/>
      <c r="V1112" s="36"/>
      <c r="W1112" s="39"/>
      <c r="X1112" s="40"/>
      <c r="Y1112" s="40"/>
      <c r="Z1112" s="40"/>
      <c r="AA1112" s="40"/>
    </row>
    <row r="1113" spans="1:27" ht="56.25">
      <c r="A1113" s="17" t="s">
        <v>72</v>
      </c>
      <c r="B1113" s="20">
        <v>4310</v>
      </c>
      <c r="C1113" s="21" t="s">
        <v>63</v>
      </c>
      <c r="D1113" s="44" t="s">
        <v>925</v>
      </c>
      <c r="E1113" s="21">
        <v>53</v>
      </c>
      <c r="F1113" s="46" t="s">
        <v>926</v>
      </c>
      <c r="G1113" s="26" t="s">
        <v>78</v>
      </c>
      <c r="H1113" s="47">
        <v>275000</v>
      </c>
      <c r="I1113" s="28"/>
      <c r="J1113" s="229" t="str">
        <f>HYPERLINK("https://drive.google.com/open?id=0B2rLR4BADrBtWXUxQjU5N3J5ZTQ","4310")</f>
        <v>4310</v>
      </c>
      <c r="K1113" s="49" t="str">
        <f>HYPERLINK("https://drive.google.com/drive/folders/0BwQ57SNHxB3BaUcwbVdoQXQ5dDg","4310")</f>
        <v>4310</v>
      </c>
      <c r="L1113" s="51"/>
      <c r="M1113" s="46"/>
      <c r="N1113" s="32"/>
      <c r="O1113" s="32"/>
      <c r="P1113" s="32"/>
      <c r="Q1113" s="32"/>
      <c r="R1113" s="32"/>
      <c r="S1113" s="32"/>
      <c r="T1113" s="83">
        <v>15</v>
      </c>
      <c r="U1113" s="83">
        <f>E1113+T1113-2+2500</f>
        <v>2566</v>
      </c>
      <c r="V1113" s="36" t="str">
        <f>LEFT(B1113, SEARCH("",B1113,2))</f>
        <v>43</v>
      </c>
      <c r="W1113" s="39" t="e">
        <f>COUNTIF('[1]ทดสอบแก้ไขจากการประชุม 12-02-62'!$V$4:$V$283,V1113)-1</f>
        <v>#VALUE!</v>
      </c>
      <c r="X1113" s="40"/>
      <c r="Y1113" s="40"/>
      <c r="Z1113" s="40"/>
      <c r="AA1113" s="40"/>
    </row>
    <row r="1114" spans="1:27" ht="56.25">
      <c r="A1114" s="17" t="s">
        <v>72</v>
      </c>
      <c r="B1114" s="20">
        <v>4320</v>
      </c>
      <c r="C1114" s="21" t="s">
        <v>256</v>
      </c>
      <c r="D1114" s="44" t="s">
        <v>945</v>
      </c>
      <c r="E1114" s="21">
        <v>54</v>
      </c>
      <c r="F1114" s="46" t="s">
        <v>946</v>
      </c>
      <c r="G1114" s="26" t="s">
        <v>78</v>
      </c>
      <c r="H1114" s="47">
        <v>53800</v>
      </c>
      <c r="I1114" s="28"/>
      <c r="J1114" s="229" t="str">
        <f>HYPERLINK("https://drive.google.com/open?id=0B2rLR4BADrBtdmEzZmRoLXkwMDA","4320")</f>
        <v>4320</v>
      </c>
      <c r="K1114" s="49" t="str">
        <f>HYPERLINK("https://drive.google.com/drive/folders/0BwN2QqBc2z4QfjNIWThUWGJ3MDdiU2x4V1ZhdFFVazNTc0I1aVByYkVXQTFldkk5VDFkRWM","4320")</f>
        <v>4320</v>
      </c>
      <c r="L1114" s="51"/>
      <c r="M1114" s="46" t="s">
        <v>4064</v>
      </c>
      <c r="N1114" s="32"/>
      <c r="O1114" s="32"/>
      <c r="P1114" s="32"/>
      <c r="Q1114" s="32"/>
      <c r="R1114" s="32"/>
      <c r="S1114" s="32"/>
      <c r="T1114" s="83">
        <v>15</v>
      </c>
      <c r="U1114" s="83">
        <f>E1114+T1114-2+2500</f>
        <v>2567</v>
      </c>
      <c r="V1114" s="36" t="str">
        <f>LEFT(B1114, SEARCH("",B1114,2))</f>
        <v>43</v>
      </c>
      <c r="W1114" s="39">
        <f>COUNTIF($V$4:$V$352,V1114)-1</f>
        <v>-1</v>
      </c>
      <c r="X1114" s="40"/>
      <c r="Y1114" s="40"/>
      <c r="Z1114" s="40"/>
      <c r="AA1114" s="40"/>
    </row>
    <row r="1115" spans="1:27" ht="56.25">
      <c r="A1115" s="17" t="s">
        <v>72</v>
      </c>
      <c r="B1115" s="20">
        <v>4320</v>
      </c>
      <c r="C1115" s="21" t="s">
        <v>63</v>
      </c>
      <c r="D1115" s="44" t="s">
        <v>994</v>
      </c>
      <c r="E1115" s="21">
        <v>53</v>
      </c>
      <c r="F1115" s="46" t="s">
        <v>996</v>
      </c>
      <c r="G1115" s="75" t="s">
        <v>78</v>
      </c>
      <c r="H1115" s="47"/>
      <c r="I1115" s="28"/>
      <c r="J1115" s="229" t="str">
        <f>HYPERLINK("https://drive.google.com/open?id=0B2rLR4BADrBtV1NPc25YR25RTVE","4320")</f>
        <v>4320</v>
      </c>
      <c r="K1115" s="49" t="str">
        <f>HYPERLINK("https://drive.google.com/drive/folders/0BwN2QqBc2z4QfjNIWThUWGJ3MDdiU2x4V1ZhdFFVazNTc0I1aVByYkVXQTFldkk5VDFkRWM","4320")</f>
        <v>4320</v>
      </c>
      <c r="L1115" s="51"/>
      <c r="M1115" s="46"/>
      <c r="N1115" s="32"/>
      <c r="O1115" s="32"/>
      <c r="P1115" s="32"/>
      <c r="Q1115" s="32"/>
      <c r="R1115" s="32"/>
      <c r="S1115" s="32"/>
      <c r="T1115" s="83">
        <v>15</v>
      </c>
      <c r="U1115" s="83">
        <f>E1115+T1115-2+2500</f>
        <v>2566</v>
      </c>
      <c r="V1115" s="36" t="str">
        <f>LEFT(B1115, SEARCH("",B1115,2))</f>
        <v>43</v>
      </c>
      <c r="W1115" s="39">
        <f>COUNTIF($V$4:$V$352,V1115)-1</f>
        <v>-1</v>
      </c>
      <c r="X1115" s="40"/>
      <c r="Y1115" s="40"/>
      <c r="Z1115" s="40"/>
      <c r="AA1115" s="40"/>
    </row>
    <row r="1116" spans="1:27" ht="56.25">
      <c r="A1116" s="17" t="s">
        <v>72</v>
      </c>
      <c r="B1116" s="20">
        <v>4520</v>
      </c>
      <c r="C1116" s="21" t="s">
        <v>157</v>
      </c>
      <c r="D1116" s="44" t="s">
        <v>1034</v>
      </c>
      <c r="E1116" s="21">
        <v>55</v>
      </c>
      <c r="F1116" s="46" t="s">
        <v>1035</v>
      </c>
      <c r="G1116" s="26" t="s">
        <v>78</v>
      </c>
      <c r="H1116" s="47">
        <v>12000</v>
      </c>
      <c r="I1116" s="28"/>
      <c r="J1116" s="229" t="str">
        <f>HYPERLINK("https://drive.google.com/open?id=0B2rLR4BADrBtdmZhYVQwWnVia0E","4520")</f>
        <v>4520</v>
      </c>
      <c r="K1116" s="49" t="str">
        <f>HYPERLINK("https://drive.google.com/drive/folders/0BwN2QqBc2z4QfnJoMkFRMFdTOGxndDNRNFdpSnU4amJvVEJuUElfc2k0d1lObGQ3NXBvZHM","4520")</f>
        <v>4520</v>
      </c>
      <c r="L1116" s="51"/>
      <c r="M1116" s="46"/>
      <c r="N1116" s="32"/>
      <c r="O1116" s="32"/>
      <c r="P1116" s="32"/>
      <c r="Q1116" s="32"/>
      <c r="R1116" s="32"/>
      <c r="S1116" s="32"/>
      <c r="T1116" s="34">
        <v>15</v>
      </c>
      <c r="U1116" s="34">
        <f>E1116+T1116-2+2500</f>
        <v>2568</v>
      </c>
      <c r="V1116" s="36" t="str">
        <f>LEFT(B1116, SEARCH("",B1116,2))</f>
        <v>45</v>
      </c>
      <c r="W1116" s="39" t="e">
        <f>COUNTIF('[1]ทดสอบแก้ไขจากการประชุม 12-02-62'!$V$4:$V$283,V1116)-1</f>
        <v>#VALUE!</v>
      </c>
      <c r="X1116" s="40"/>
      <c r="Y1116" s="40"/>
      <c r="Z1116" s="40"/>
      <c r="AA1116" s="40"/>
    </row>
    <row r="1117" spans="1:27" ht="56.25">
      <c r="A1117" s="17" t="s">
        <v>72</v>
      </c>
      <c r="B1117" s="20">
        <v>4520</v>
      </c>
      <c r="C1117" s="21" t="s">
        <v>157</v>
      </c>
      <c r="D1117" s="44" t="s">
        <v>1038</v>
      </c>
      <c r="E1117" s="21">
        <v>62</v>
      </c>
      <c r="F1117" s="86" t="s">
        <v>1039</v>
      </c>
      <c r="G1117" s="26" t="s">
        <v>78</v>
      </c>
      <c r="H1117" s="47">
        <v>17500</v>
      </c>
      <c r="I1117" s="28"/>
      <c r="J1117" s="320" t="str">
        <f>HYPERLINK("https://drive.google.com/file/d/1POSs06N1wndUAuO31cHQqU6xlRRzgYO0/view?usp=sharing","4520")</f>
        <v>4520</v>
      </c>
      <c r="K1117" s="49"/>
      <c r="L1117" s="51"/>
      <c r="M1117" s="95"/>
      <c r="N1117" s="32"/>
      <c r="O1117" s="32"/>
      <c r="P1117" s="32"/>
      <c r="Q1117" s="32"/>
      <c r="R1117" s="32"/>
      <c r="S1117" s="32"/>
      <c r="T1117" s="34"/>
      <c r="U1117" s="34"/>
      <c r="V1117" s="36"/>
      <c r="W1117" s="39"/>
      <c r="X1117" s="40"/>
      <c r="Y1117" s="40"/>
      <c r="Z1117" s="40"/>
      <c r="AA1117" s="40"/>
    </row>
    <row r="1118" spans="1:27" ht="56.25">
      <c r="A1118" s="17" t="s">
        <v>72</v>
      </c>
      <c r="B1118" s="20">
        <v>4520</v>
      </c>
      <c r="C1118" s="21" t="s">
        <v>157</v>
      </c>
      <c r="D1118" s="44" t="s">
        <v>1040</v>
      </c>
      <c r="E1118" s="21">
        <v>62</v>
      </c>
      <c r="F1118" s="86" t="s">
        <v>950</v>
      </c>
      <c r="G1118" s="26" t="s">
        <v>78</v>
      </c>
      <c r="H1118" s="47">
        <v>15000</v>
      </c>
      <c r="I1118" s="28"/>
      <c r="J1118" s="320" t="str">
        <f>HYPERLINK("https://drive.google.com/file/d/1XzFyU5B1hEa0zRrB6g0Ue9_CRUKDHXBw/view?usp=sharing","4520")</f>
        <v>4520</v>
      </c>
      <c r="K1118" s="49"/>
      <c r="L1118" s="51"/>
      <c r="M1118" s="95"/>
      <c r="N1118" s="32"/>
      <c r="O1118" s="32"/>
      <c r="P1118" s="32"/>
      <c r="Q1118" s="32"/>
      <c r="R1118" s="32"/>
      <c r="S1118" s="32"/>
      <c r="T1118" s="34"/>
      <c r="U1118" s="34"/>
      <c r="V1118" s="36"/>
      <c r="W1118" s="39"/>
      <c r="X1118" s="40"/>
      <c r="Y1118" s="40"/>
      <c r="Z1118" s="40"/>
      <c r="AA1118" s="40"/>
    </row>
    <row r="1119" spans="1:27" ht="56.25">
      <c r="A1119" s="17" t="s">
        <v>72</v>
      </c>
      <c r="B1119" s="20">
        <v>4520</v>
      </c>
      <c r="C1119" s="21" t="s">
        <v>157</v>
      </c>
      <c r="D1119" s="44" t="s">
        <v>1041</v>
      </c>
      <c r="E1119" s="21">
        <v>62</v>
      </c>
      <c r="F1119" s="86" t="s">
        <v>950</v>
      </c>
      <c r="G1119" s="26" t="s">
        <v>78</v>
      </c>
      <c r="H1119" s="47">
        <v>14500</v>
      </c>
      <c r="I1119" s="28"/>
      <c r="J1119" s="320" t="str">
        <f>HYPERLINK("https://drive.google.com/file/d/1GRisJEpHLFV92DKaeUsQjzLuIdpTuQGf/view?usp=sharing","4520")</f>
        <v>4520</v>
      </c>
      <c r="K1119" s="49"/>
      <c r="L1119" s="51"/>
      <c r="M1119" s="95"/>
      <c r="N1119" s="32"/>
      <c r="O1119" s="32"/>
      <c r="P1119" s="32"/>
      <c r="Q1119" s="32"/>
      <c r="R1119" s="32"/>
      <c r="S1119" s="32"/>
      <c r="T1119" s="34"/>
      <c r="U1119" s="34"/>
      <c r="V1119" s="36"/>
      <c r="W1119" s="39"/>
      <c r="X1119" s="40"/>
      <c r="Y1119" s="40"/>
      <c r="Z1119" s="40"/>
      <c r="AA1119" s="40"/>
    </row>
    <row r="1120" spans="1:27" ht="56.25">
      <c r="A1120" s="17" t="s">
        <v>72</v>
      </c>
      <c r="B1120" s="20">
        <v>4520</v>
      </c>
      <c r="C1120" s="21" t="s">
        <v>157</v>
      </c>
      <c r="D1120" s="44" t="s">
        <v>1045</v>
      </c>
      <c r="E1120" s="21">
        <v>62</v>
      </c>
      <c r="F1120" s="86" t="s">
        <v>1047</v>
      </c>
      <c r="G1120" s="26" t="s">
        <v>78</v>
      </c>
      <c r="H1120" s="47">
        <v>17500</v>
      </c>
      <c r="I1120" s="28"/>
      <c r="J1120" s="320" t="str">
        <f>HYPERLINK("https://drive.google.com/file/d/1rvMdq-hAQ6qQV600QF3mVkuIK3RpTga_/view?usp=sharing","4520")</f>
        <v>4520</v>
      </c>
      <c r="K1120" s="49"/>
      <c r="L1120" s="51"/>
      <c r="M1120" s="95"/>
      <c r="N1120" s="32"/>
      <c r="O1120" s="32"/>
      <c r="P1120" s="32"/>
      <c r="Q1120" s="32"/>
      <c r="R1120" s="32"/>
      <c r="S1120" s="32"/>
      <c r="T1120" s="34"/>
      <c r="U1120" s="34"/>
      <c r="V1120" s="36"/>
      <c r="W1120" s="39"/>
      <c r="X1120" s="40"/>
      <c r="Y1120" s="40"/>
      <c r="Z1120" s="40"/>
      <c r="AA1120" s="40"/>
    </row>
    <row r="1121" spans="1:27" ht="56.25">
      <c r="A1121" s="17" t="s">
        <v>72</v>
      </c>
      <c r="B1121" s="20">
        <v>4520</v>
      </c>
      <c r="C1121" s="21" t="s">
        <v>157</v>
      </c>
      <c r="D1121" s="44" t="s">
        <v>1049</v>
      </c>
      <c r="E1121" s="21">
        <v>62</v>
      </c>
      <c r="F1121" s="86" t="s">
        <v>1050</v>
      </c>
      <c r="G1121" s="26" t="s">
        <v>78</v>
      </c>
      <c r="H1121" s="47">
        <v>9500</v>
      </c>
      <c r="I1121" s="28"/>
      <c r="J1121" s="320" t="str">
        <f>HYPERLINK("https://drive.google.com/file/d/1FliKsFV7Whag4Jqm-ekTvCMxtXEx8Z7Z/view?usp=sharing","4520")</f>
        <v>4520</v>
      </c>
      <c r="K1121" s="49"/>
      <c r="L1121" s="51"/>
      <c r="M1121" s="95"/>
      <c r="N1121" s="32"/>
      <c r="O1121" s="32"/>
      <c r="P1121" s="32"/>
      <c r="Q1121" s="32"/>
      <c r="R1121" s="32"/>
      <c r="S1121" s="32"/>
      <c r="T1121" s="34"/>
      <c r="U1121" s="34"/>
      <c r="V1121" s="36"/>
      <c r="W1121" s="39"/>
      <c r="X1121" s="40"/>
      <c r="Y1121" s="40"/>
      <c r="Z1121" s="40"/>
      <c r="AA1121" s="40"/>
    </row>
    <row r="1122" spans="1:27" ht="56.25">
      <c r="A1122" s="17" t="s">
        <v>72</v>
      </c>
      <c r="B1122" s="20">
        <v>4630</v>
      </c>
      <c r="C1122" s="21" t="s">
        <v>63</v>
      </c>
      <c r="D1122" s="44" t="s">
        <v>1087</v>
      </c>
      <c r="E1122" s="21">
        <v>56</v>
      </c>
      <c r="F1122" s="46" t="s">
        <v>4065</v>
      </c>
      <c r="G1122" s="26" t="s">
        <v>28</v>
      </c>
      <c r="H1122" s="47">
        <v>12500000</v>
      </c>
      <c r="I1122" s="28"/>
      <c r="J1122" s="229" t="str">
        <f>HYPERLINK("https://drive.google.com/open?id=0B2rLR4BADrBtcWQ3dEdNMnpLbzg","4630")</f>
        <v>4630</v>
      </c>
      <c r="K1122" s="92" t="str">
        <f>HYPERLINK("https://drive.google.com/drive/folders/0BwQ57SNHxB3Ba1B3bG9qYXRwdFU","4630")</f>
        <v>4630</v>
      </c>
      <c r="L1122" s="127"/>
      <c r="M1122" s="87" t="s">
        <v>4066</v>
      </c>
      <c r="N1122" s="32"/>
      <c r="O1122" s="32"/>
      <c r="P1122" s="32"/>
      <c r="Q1122" s="32"/>
      <c r="R1122" s="32"/>
      <c r="S1122" s="32"/>
      <c r="T1122" s="34">
        <v>15</v>
      </c>
      <c r="U1122" s="34">
        <f t="shared" ref="U1122:U1127" si="30">E1122+T1122-2+2500</f>
        <v>2569</v>
      </c>
      <c r="V1122" s="36" t="str">
        <f t="shared" ref="V1122:V1132" si="31">LEFT(B1122, SEARCH("",B1122,2))</f>
        <v>46</v>
      </c>
      <c r="W1122" s="39">
        <f>COUNTIF($V$4:$V$352,V1122)-1</f>
        <v>-1</v>
      </c>
      <c r="X1122" s="40"/>
      <c r="Y1122" s="40"/>
      <c r="Z1122" s="40"/>
      <c r="AA1122" s="40"/>
    </row>
    <row r="1123" spans="1:27" ht="56.25">
      <c r="A1123" s="17" t="s">
        <v>72</v>
      </c>
      <c r="B1123" s="20">
        <v>4940</v>
      </c>
      <c r="C1123" s="21" t="s">
        <v>63</v>
      </c>
      <c r="D1123" s="44" t="s">
        <v>1111</v>
      </c>
      <c r="E1123" s="21">
        <v>52</v>
      </c>
      <c r="F1123" s="46" t="s">
        <v>1112</v>
      </c>
      <c r="G1123" s="26" t="s">
        <v>78</v>
      </c>
      <c r="H1123" s="47">
        <v>18000</v>
      </c>
      <c r="I1123" s="28"/>
      <c r="J1123" s="229" t="str">
        <f>HYPERLINK("https://drive.google.com/open?id=0B2rLR4BADrBtWDh5YVdnM0ljXzQ","4940")</f>
        <v>4940</v>
      </c>
      <c r="K1123" s="49" t="str">
        <f>HYPERLINK("https://drive.google.com/drive/folders/0BwQ57SNHxB3Bc3ZkT2p5aDQzWFk","4940")</f>
        <v>4940</v>
      </c>
      <c r="L1123" s="51"/>
      <c r="M1123" s="46"/>
      <c r="N1123" s="32"/>
      <c r="O1123" s="32"/>
      <c r="P1123" s="32"/>
      <c r="Q1123" s="32"/>
      <c r="R1123" s="32"/>
      <c r="S1123" s="32"/>
      <c r="T1123" s="34">
        <v>15</v>
      </c>
      <c r="U1123" s="34">
        <f t="shared" si="30"/>
        <v>2565</v>
      </c>
      <c r="V1123" s="36" t="str">
        <f t="shared" si="31"/>
        <v>49</v>
      </c>
      <c r="W1123" s="39" t="e">
        <f>COUNTIF('[1]ทดสอบแก้ไขจากการประชุม 12-02-62'!$V$4:$V$283,V1123)-1</f>
        <v>#VALUE!</v>
      </c>
      <c r="X1123" s="40"/>
      <c r="Y1123" s="40"/>
      <c r="Z1123" s="40"/>
      <c r="AA1123" s="40"/>
    </row>
    <row r="1124" spans="1:27" ht="75">
      <c r="A1124" s="17" t="s">
        <v>72</v>
      </c>
      <c r="B1124" s="20">
        <v>5130</v>
      </c>
      <c r="C1124" s="21" t="s">
        <v>157</v>
      </c>
      <c r="D1124" s="44" t="s">
        <v>1159</v>
      </c>
      <c r="E1124" s="21">
        <v>54</v>
      </c>
      <c r="F1124" s="46" t="s">
        <v>1003</v>
      </c>
      <c r="G1124" s="26" t="s">
        <v>78</v>
      </c>
      <c r="H1124" s="47">
        <v>8500</v>
      </c>
      <c r="I1124" s="28"/>
      <c r="J1124" s="229" t="str">
        <f>HYPERLINK("https://drive.google.com/open?id=0B2rLR4BADrBtUUw1NmlVNDAteWM","5130")</f>
        <v>5130</v>
      </c>
      <c r="K1124" s="137" t="str">
        <f>HYPERLINK("https://drive.google.com/drive/folders/0BwN2QqBc2z4QflhnNklpTEZqRnBLWXVqR2hINEE3NUEyMklIcTFRSzkyT1ZJR1ZhT1RZcW8","5130")</f>
        <v>5130</v>
      </c>
      <c r="L1124" s="138"/>
      <c r="M1124" s="87" t="s">
        <v>4067</v>
      </c>
      <c r="N1124" s="32"/>
      <c r="O1124" s="32"/>
      <c r="P1124" s="32"/>
      <c r="Q1124" s="32"/>
      <c r="R1124" s="32"/>
      <c r="S1124" s="32"/>
      <c r="T1124" s="34">
        <v>10</v>
      </c>
      <c r="U1124" s="34">
        <f t="shared" si="30"/>
        <v>2562</v>
      </c>
      <c r="V1124" s="36" t="str">
        <f t="shared" si="31"/>
        <v>51</v>
      </c>
      <c r="W1124" s="39">
        <f>COUNTIF($V$4:$V$352,V1124)-1</f>
        <v>-1</v>
      </c>
      <c r="X1124" s="40"/>
      <c r="Y1124" s="40"/>
      <c r="Z1124" s="40"/>
      <c r="AA1124" s="40"/>
    </row>
    <row r="1125" spans="1:27" ht="56.25">
      <c r="A1125" s="17" t="s">
        <v>72</v>
      </c>
      <c r="B1125" s="20">
        <v>5130</v>
      </c>
      <c r="C1125" s="21" t="s">
        <v>63</v>
      </c>
      <c r="D1125" s="44" t="s">
        <v>1166</v>
      </c>
      <c r="E1125" s="21">
        <v>52</v>
      </c>
      <c r="F1125" s="46" t="s">
        <v>1167</v>
      </c>
      <c r="G1125" s="26" t="s">
        <v>537</v>
      </c>
      <c r="H1125" s="47">
        <v>4500</v>
      </c>
      <c r="I1125" s="28"/>
      <c r="J1125" s="229" t="str">
        <f>HYPERLINK("https://drive.google.com/open?id=0B2rLR4BADrBtSGVITnRpSXp5WGM","5130")</f>
        <v>5130</v>
      </c>
      <c r="K1125" s="49" t="str">
        <f>HYPERLINK("https://drive.google.com/drive/folders/0BwN2QqBc2z4QflhnNklpTEZqRnBLWXVqR2hINEE3NUEyMklIcTFRSzkyT1ZJR1ZhT1RZcW8","5130")</f>
        <v>5130</v>
      </c>
      <c r="L1125" s="51"/>
      <c r="M1125" s="46"/>
      <c r="N1125" s="32"/>
      <c r="O1125" s="32"/>
      <c r="P1125" s="32"/>
      <c r="Q1125" s="32"/>
      <c r="R1125" s="32"/>
      <c r="S1125" s="32"/>
      <c r="T1125" s="34">
        <v>10</v>
      </c>
      <c r="U1125" s="34">
        <f t="shared" si="30"/>
        <v>2560</v>
      </c>
      <c r="V1125" s="36" t="str">
        <f t="shared" si="31"/>
        <v>51</v>
      </c>
      <c r="W1125" s="39">
        <f>COUNTIF($V$4:$V$352,V1125)-1</f>
        <v>-1</v>
      </c>
      <c r="X1125" s="40"/>
      <c r="Y1125" s="40"/>
      <c r="Z1125" s="40"/>
      <c r="AA1125" s="40"/>
    </row>
    <row r="1126" spans="1:27" ht="56.25">
      <c r="A1126" s="17" t="s">
        <v>72</v>
      </c>
      <c r="B1126" s="20">
        <v>5130</v>
      </c>
      <c r="C1126" s="21" t="s">
        <v>256</v>
      </c>
      <c r="D1126" s="44" t="s">
        <v>1081</v>
      </c>
      <c r="E1126" s="21">
        <v>52</v>
      </c>
      <c r="F1126" s="46" t="s">
        <v>1082</v>
      </c>
      <c r="G1126" s="26" t="s">
        <v>78</v>
      </c>
      <c r="H1126" s="47">
        <v>150000</v>
      </c>
      <c r="I1126" s="28"/>
      <c r="J1126" s="229" t="str">
        <f>HYPERLINK("https://drive.google.com/open?id=0B2rLR4BADrBtdzdEX290dUNnX0k","5130")</f>
        <v>5130</v>
      </c>
      <c r="K1126" s="49" t="str">
        <f>HYPERLINK("https://drive.google.com/drive/folders/0BwN2QqBc2z4QflhnNklpTEZqRnBLWXVqR2hINEE3NUEyMklIcTFRSzkyT1ZJR1ZhT1RZcW8","5130")</f>
        <v>5130</v>
      </c>
      <c r="L1126" s="51"/>
      <c r="M1126" s="46"/>
      <c r="N1126" s="32"/>
      <c r="O1126" s="32"/>
      <c r="P1126" s="32"/>
      <c r="Q1126" s="32"/>
      <c r="R1126" s="32"/>
      <c r="S1126" s="32"/>
      <c r="T1126" s="34">
        <v>10</v>
      </c>
      <c r="U1126" s="34">
        <f t="shared" si="30"/>
        <v>2560</v>
      </c>
      <c r="V1126" s="36" t="str">
        <f t="shared" si="31"/>
        <v>51</v>
      </c>
      <c r="W1126" s="39" t="e">
        <f>COUNTIF('[1]ทดสอบแก้ไขจากการประชุม 12-02-62'!$V$4:$V$283,V1126)-1</f>
        <v>#VALUE!</v>
      </c>
      <c r="X1126" s="40"/>
      <c r="Y1126" s="40"/>
      <c r="Z1126" s="40"/>
      <c r="AA1126" s="40"/>
    </row>
    <row r="1127" spans="1:27" ht="56.25">
      <c r="A1127" s="17" t="s">
        <v>72</v>
      </c>
      <c r="B1127" s="20">
        <v>5130</v>
      </c>
      <c r="C1127" s="21" t="s">
        <v>63</v>
      </c>
      <c r="D1127" s="44" t="s">
        <v>1193</v>
      </c>
      <c r="E1127" s="21">
        <v>52</v>
      </c>
      <c r="F1127" s="46" t="s">
        <v>1195</v>
      </c>
      <c r="G1127" s="26" t="s">
        <v>78</v>
      </c>
      <c r="H1127" s="47"/>
      <c r="I1127" s="28"/>
      <c r="J1127" s="229" t="str">
        <f>HYPERLINK("https://drive.google.com/open?id=0B2rLR4BADrBtdlFZVFMtT2pXQ1k","5130")</f>
        <v>5130</v>
      </c>
      <c r="K1127" s="49" t="str">
        <f>HYPERLINK("https://drive.google.com/drive/folders/0BwN2QqBc2z4QflhnNklpTEZqRnBLWXVqR2hINEE3NUEyMklIcTFRSzkyT1ZJR1ZhT1RZcW8","5130")</f>
        <v>5130</v>
      </c>
      <c r="L1127" s="51"/>
      <c r="M1127" s="87" t="s">
        <v>4047</v>
      </c>
      <c r="N1127" s="32"/>
      <c r="O1127" s="32"/>
      <c r="P1127" s="32"/>
      <c r="Q1127" s="32"/>
      <c r="R1127" s="32"/>
      <c r="S1127" s="32"/>
      <c r="T1127" s="34">
        <v>10</v>
      </c>
      <c r="U1127" s="34">
        <f t="shared" si="30"/>
        <v>2560</v>
      </c>
      <c r="V1127" s="36" t="str">
        <f t="shared" si="31"/>
        <v>51</v>
      </c>
      <c r="W1127" s="39">
        <f>COUNTIF($V$4:$V$352,V1127)-1</f>
        <v>-1</v>
      </c>
      <c r="X1127" s="40"/>
      <c r="Y1127" s="40"/>
      <c r="Z1127" s="40"/>
      <c r="AA1127" s="40"/>
    </row>
    <row r="1128" spans="1:27" ht="56.25">
      <c r="A1128" s="17" t="s">
        <v>72</v>
      </c>
      <c r="B1128" s="20">
        <v>5210</v>
      </c>
      <c r="C1128" s="21" t="s">
        <v>372</v>
      </c>
      <c r="D1128" s="44" t="s">
        <v>1228</v>
      </c>
      <c r="E1128" s="21">
        <v>61</v>
      </c>
      <c r="F1128" s="95" t="s">
        <v>1229</v>
      </c>
      <c r="G1128" s="75" t="s">
        <v>78</v>
      </c>
      <c r="H1128" s="85">
        <v>28500</v>
      </c>
      <c r="I1128" s="28"/>
      <c r="J1128" s="229" t="str">
        <f>HYPERLINK("https://drive.google.com/open?id=1RXng6ssgtmoTmXf27Mi3bFrKBSfGsaoN","5210")</f>
        <v>5210</v>
      </c>
      <c r="K1128" s="137"/>
      <c r="L1128" s="88">
        <v>5210356813817</v>
      </c>
      <c r="M1128" s="87" t="s">
        <v>4068</v>
      </c>
      <c r="N1128" s="32"/>
      <c r="O1128" s="32"/>
      <c r="P1128" s="32"/>
      <c r="Q1128" s="32"/>
      <c r="R1128" s="32"/>
      <c r="S1128" s="32"/>
      <c r="T1128" s="34"/>
      <c r="U1128" s="34"/>
      <c r="V1128" s="29" t="str">
        <f t="shared" si="31"/>
        <v>52</v>
      </c>
      <c r="W1128" s="39" t="e">
        <f>COUNTIF([2]สเปคเฉพาะกิจ!$V$4:$V$384,V1128)-1</f>
        <v>#VALUE!</v>
      </c>
      <c r="X1128" s="40" t="s">
        <v>1232</v>
      </c>
      <c r="Y1128" s="40"/>
      <c r="Z1128" s="40"/>
      <c r="AA1128" s="40"/>
    </row>
    <row r="1129" spans="1:27" ht="56.25">
      <c r="A1129" s="17" t="s">
        <v>72</v>
      </c>
      <c r="B1129" s="20">
        <v>5210</v>
      </c>
      <c r="C1129" s="21" t="s">
        <v>372</v>
      </c>
      <c r="D1129" s="44" t="s">
        <v>1233</v>
      </c>
      <c r="E1129" s="21">
        <v>61</v>
      </c>
      <c r="F1129" s="95" t="s">
        <v>1235</v>
      </c>
      <c r="G1129" s="75" t="s">
        <v>53</v>
      </c>
      <c r="H1129" s="85">
        <v>30800</v>
      </c>
      <c r="I1129" s="28"/>
      <c r="J1129" s="229" t="str">
        <f>HYPERLINK("https://drive.google.com/drive/folders/19kctgneqLNllyLtAIoNB7B0vrYURlN9W","5210")</f>
        <v>5210</v>
      </c>
      <c r="K1129" s="137"/>
      <c r="L1129" s="88">
        <v>5210356813816</v>
      </c>
      <c r="M1129" s="87" t="s">
        <v>4068</v>
      </c>
      <c r="N1129" s="32"/>
      <c r="O1129" s="32"/>
      <c r="P1129" s="32"/>
      <c r="Q1129" s="32"/>
      <c r="R1129" s="32"/>
      <c r="S1129" s="32"/>
      <c r="T1129" s="34"/>
      <c r="U1129" s="34"/>
      <c r="V1129" s="29" t="str">
        <f t="shared" si="31"/>
        <v>52</v>
      </c>
      <c r="W1129" s="39" t="e">
        <f>COUNTIF([2]สเปคเฉพาะกิจ!$V$4:$V$384,V1129)-1</f>
        <v>#VALUE!</v>
      </c>
      <c r="X1129" s="40" t="s">
        <v>1232</v>
      </c>
      <c r="Y1129" s="40"/>
      <c r="Z1129" s="40"/>
      <c r="AA1129" s="40"/>
    </row>
    <row r="1130" spans="1:27" ht="56.25">
      <c r="A1130" s="17" t="s">
        <v>72</v>
      </c>
      <c r="B1130" s="20">
        <v>5210</v>
      </c>
      <c r="C1130" s="21" t="s">
        <v>372</v>
      </c>
      <c r="D1130" s="44" t="s">
        <v>1240</v>
      </c>
      <c r="E1130" s="21">
        <v>55</v>
      </c>
      <c r="F1130" s="95" t="s">
        <v>1241</v>
      </c>
      <c r="G1130" s="26" t="s">
        <v>1044</v>
      </c>
      <c r="H1130" s="47">
        <v>5000</v>
      </c>
      <c r="I1130" s="28"/>
      <c r="J1130" s="229" t="str">
        <f>HYPERLINK("https://drive.google.com/drive/folders/0BwQ57SNHxB3BU1NrYTJSeDBaak0","5210")</f>
        <v>5210</v>
      </c>
      <c r="K1130" s="137" t="str">
        <f>HYPERLINK("https://drive.google.com/drive/folders/0BwQ57SNHxB3Bc3hxbmlMc1JDaHM","5210")</f>
        <v>5210</v>
      </c>
      <c r="L1130" s="88" t="s">
        <v>1244</v>
      </c>
      <c r="M1130" s="87" t="s">
        <v>4068</v>
      </c>
      <c r="N1130" s="32"/>
      <c r="O1130" s="32"/>
      <c r="P1130" s="32"/>
      <c r="Q1130" s="32"/>
      <c r="R1130" s="32"/>
      <c r="S1130" s="32"/>
      <c r="T1130" s="34">
        <v>15</v>
      </c>
      <c r="U1130" s="34">
        <f>E1130+T1130-2+2500</f>
        <v>2568</v>
      </c>
      <c r="V1130" s="29" t="str">
        <f t="shared" si="31"/>
        <v>52</v>
      </c>
      <c r="W1130" s="39" t="e">
        <f>COUNTIF([2]สเปคเฉพาะกิจ!$V$4:$V$384,V1130)-1</f>
        <v>#VALUE!</v>
      </c>
      <c r="X1130" s="40" t="s">
        <v>1234</v>
      </c>
      <c r="Y1130" s="40"/>
      <c r="Z1130" s="40"/>
      <c r="AA1130" s="40"/>
    </row>
    <row r="1131" spans="1:27" ht="56.25">
      <c r="A1131" s="17" t="s">
        <v>72</v>
      </c>
      <c r="B1131" s="20">
        <v>5210</v>
      </c>
      <c r="C1131" s="21" t="s">
        <v>372</v>
      </c>
      <c r="D1131" s="44" t="s">
        <v>1247</v>
      </c>
      <c r="E1131" s="21">
        <v>55</v>
      </c>
      <c r="F1131" s="95" t="s">
        <v>1248</v>
      </c>
      <c r="G1131" s="26" t="s">
        <v>273</v>
      </c>
      <c r="H1131" s="47">
        <v>10000</v>
      </c>
      <c r="I1131" s="28"/>
      <c r="J1131" s="229" t="str">
        <f>HYPERLINK("https://drive.google.com/drive/folders/0BwQ57SNHxB3BRzNWdFZmNHRLWDg","5210")</f>
        <v>5210</v>
      </c>
      <c r="K1131" s="137" t="str">
        <f>HYPERLINK("https://drive.google.com/drive/folders/0BwQ57SNHxB3Bc3hxbmlMc1JDaHM","5210")</f>
        <v>5210</v>
      </c>
      <c r="L1131" s="138"/>
      <c r="M1131" s="87" t="s">
        <v>4068</v>
      </c>
      <c r="N1131" s="32"/>
      <c r="O1131" s="32"/>
      <c r="P1131" s="32"/>
      <c r="Q1131" s="32"/>
      <c r="R1131" s="32"/>
      <c r="S1131" s="32"/>
      <c r="T1131" s="34">
        <v>15</v>
      </c>
      <c r="U1131" s="34">
        <f>E1131+T1131-2+2500</f>
        <v>2568</v>
      </c>
      <c r="V1131" s="29" t="str">
        <f t="shared" si="31"/>
        <v>52</v>
      </c>
      <c r="W1131" s="39" t="e">
        <f>COUNTIF([2]สเปคเฉพาะกิจ!$V$4:$V$384,V1131)-1</f>
        <v>#VALUE!</v>
      </c>
      <c r="X1131" s="40" t="s">
        <v>1234</v>
      </c>
      <c r="Y1131" s="40"/>
      <c r="Z1131" s="40"/>
      <c r="AA1131" s="40"/>
    </row>
    <row r="1132" spans="1:27" ht="56.25">
      <c r="A1132" s="17" t="s">
        <v>72</v>
      </c>
      <c r="B1132" s="20">
        <v>5610</v>
      </c>
      <c r="C1132" s="21" t="s">
        <v>63</v>
      </c>
      <c r="D1132" s="44" t="s">
        <v>1271</v>
      </c>
      <c r="E1132" s="21">
        <v>52</v>
      </c>
      <c r="F1132" s="46" t="s">
        <v>1272</v>
      </c>
      <c r="G1132" s="47"/>
      <c r="H1132" s="47"/>
      <c r="I1132" s="28"/>
      <c r="J1132" s="229" t="str">
        <f>HYPERLINK("https://drive.google.com/open?id=0B2rLR4BADrBtUkozRkwwTC0td2c","5610")</f>
        <v>5610</v>
      </c>
      <c r="K1132" s="137" t="str">
        <f>HYPERLINK("https://drive.google.com/drive/folders/0BwQ57SNHxB3BWk9PRHVRYmtUX1k","5660")</f>
        <v>5660</v>
      </c>
      <c r="L1132" s="138"/>
      <c r="M1132" s="87" t="s">
        <v>4047</v>
      </c>
      <c r="N1132" s="32"/>
      <c r="O1132" s="32"/>
      <c r="P1132" s="32"/>
      <c r="Q1132" s="32"/>
      <c r="R1132" s="32"/>
      <c r="S1132" s="32"/>
      <c r="T1132" s="83" t="s">
        <v>1273</v>
      </c>
      <c r="U1132" s="83">
        <f>E1132+T1132-2+2500</f>
        <v>2560</v>
      </c>
      <c r="V1132" s="36" t="str">
        <f t="shared" si="31"/>
        <v>56</v>
      </c>
      <c r="W1132" s="39">
        <f>COUNTIF($V$4:$V$352,V1132)-1</f>
        <v>-1</v>
      </c>
      <c r="X1132" s="40"/>
      <c r="Y1132" s="40"/>
      <c r="Z1132" s="40"/>
      <c r="AA1132" s="40"/>
    </row>
    <row r="1133" spans="1:27" ht="56.25">
      <c r="A1133" s="17" t="s">
        <v>72</v>
      </c>
      <c r="B1133" s="20">
        <v>5660</v>
      </c>
      <c r="C1133" s="21" t="s">
        <v>157</v>
      </c>
      <c r="D1133" s="44" t="s">
        <v>1276</v>
      </c>
      <c r="E1133" s="21">
        <v>62</v>
      </c>
      <c r="F1133" s="86" t="s">
        <v>1277</v>
      </c>
      <c r="G1133" s="26" t="s">
        <v>78</v>
      </c>
      <c r="H1133" s="47">
        <v>150000</v>
      </c>
      <c r="I1133" s="28"/>
      <c r="J1133" s="320" t="str">
        <f>HYPERLINK("https://drive.google.com/file/d/1N3V0xDv2ZKlWJ2RupvCw1dszaixM6W7B/view?usp=sharing","5660")</f>
        <v>5660</v>
      </c>
      <c r="K1133" s="49"/>
      <c r="L1133" s="51"/>
      <c r="M1133" s="95"/>
      <c r="N1133" s="32"/>
      <c r="O1133" s="32"/>
      <c r="P1133" s="32"/>
      <c r="Q1133" s="32"/>
      <c r="R1133" s="32"/>
      <c r="S1133" s="32"/>
      <c r="T1133" s="34"/>
      <c r="U1133" s="34"/>
      <c r="V1133" s="36"/>
      <c r="W1133" s="39"/>
      <c r="X1133" s="40"/>
      <c r="Y1133" s="40"/>
      <c r="Z1133" s="40"/>
      <c r="AA1133" s="40"/>
    </row>
    <row r="1134" spans="1:27" ht="56.25">
      <c r="A1134" s="17" t="s">
        <v>72</v>
      </c>
      <c r="B1134" s="20">
        <v>5660</v>
      </c>
      <c r="C1134" s="21" t="s">
        <v>157</v>
      </c>
      <c r="D1134" s="44" t="s">
        <v>1280</v>
      </c>
      <c r="E1134" s="21">
        <v>58</v>
      </c>
      <c r="F1134" s="74" t="s">
        <v>1281</v>
      </c>
      <c r="G1134" s="26" t="s">
        <v>78</v>
      </c>
      <c r="H1134" s="47">
        <v>120000</v>
      </c>
      <c r="I1134" s="28"/>
      <c r="J1134" s="229" t="str">
        <f>HYPERLINK("https://drive.google.com/open?id=0B2vBTVEfSzItZmRqRVp3TXdUZkk","5660")</f>
        <v>5660</v>
      </c>
      <c r="K1134" s="137" t="str">
        <f>HYPERLINK("https://drive.google.com/drive/folders/0BwQ57SNHxB3BWk9PRHVRYmtUX1k","5660")</f>
        <v>5660</v>
      </c>
      <c r="L1134" s="138"/>
      <c r="M1134" s="74"/>
      <c r="N1134" s="32"/>
      <c r="O1134" s="32"/>
      <c r="P1134" s="32"/>
      <c r="Q1134" s="32"/>
      <c r="R1134" s="32"/>
      <c r="S1134" s="32"/>
      <c r="T1134" s="83" t="s">
        <v>1273</v>
      </c>
      <c r="U1134" s="83">
        <f t="shared" ref="U1134:U1148" si="32">E1134+T1134-2+2500</f>
        <v>2566</v>
      </c>
      <c r="V1134" s="36" t="str">
        <f t="shared" ref="V1134:V1148" si="33">LEFT(B1134, SEARCH("",B1134,2))</f>
        <v>56</v>
      </c>
      <c r="W1134" s="39">
        <f t="shared" ref="W1134:W1140" si="34">COUNTIF($V$4:$V$352,V1134)-1</f>
        <v>-1</v>
      </c>
      <c r="X1134" s="40"/>
      <c r="Y1134" s="40"/>
      <c r="Z1134" s="40"/>
      <c r="AA1134" s="40"/>
    </row>
    <row r="1135" spans="1:27" ht="56.25">
      <c r="A1135" s="17" t="s">
        <v>72</v>
      </c>
      <c r="B1135" s="20">
        <v>5660</v>
      </c>
      <c r="C1135" s="21" t="s">
        <v>157</v>
      </c>
      <c r="D1135" s="44" t="s">
        <v>1285</v>
      </c>
      <c r="E1135" s="21">
        <v>58</v>
      </c>
      <c r="F1135" s="74" t="s">
        <v>1286</v>
      </c>
      <c r="G1135" s="26" t="s">
        <v>273</v>
      </c>
      <c r="H1135" s="47">
        <v>95000</v>
      </c>
      <c r="I1135" s="28"/>
      <c r="J1135" s="229" t="str">
        <f>HYPERLINK("https://drive.google.com/open?id=0B2vBTVEfSzItUXVoOVNJMGtSdXc","5660")</f>
        <v>5660</v>
      </c>
      <c r="K1135" s="137" t="str">
        <f>HYPERLINK("https://drive.google.com/drive/folders/0BwQ57SNHxB3BWk9PRHVRYmtUX1k","5660")</f>
        <v>5660</v>
      </c>
      <c r="L1135" s="138"/>
      <c r="M1135" s="74"/>
      <c r="N1135" s="32"/>
      <c r="O1135" s="32"/>
      <c r="P1135" s="32"/>
      <c r="Q1135" s="32"/>
      <c r="R1135" s="32"/>
      <c r="S1135" s="32"/>
      <c r="T1135" s="83" t="s">
        <v>1273</v>
      </c>
      <c r="U1135" s="83">
        <f t="shared" si="32"/>
        <v>2566</v>
      </c>
      <c r="V1135" s="36" t="str">
        <f t="shared" si="33"/>
        <v>56</v>
      </c>
      <c r="W1135" s="39">
        <f t="shared" si="34"/>
        <v>-1</v>
      </c>
      <c r="X1135" s="40"/>
      <c r="Y1135" s="40"/>
      <c r="Z1135" s="40"/>
      <c r="AA1135" s="40"/>
    </row>
    <row r="1136" spans="1:27" ht="56.25">
      <c r="A1136" s="17" t="s">
        <v>72</v>
      </c>
      <c r="B1136" s="20">
        <v>5660</v>
      </c>
      <c r="C1136" s="21" t="s">
        <v>157</v>
      </c>
      <c r="D1136" s="44" t="s">
        <v>1291</v>
      </c>
      <c r="E1136" s="21">
        <v>55</v>
      </c>
      <c r="F1136" s="46" t="s">
        <v>1292</v>
      </c>
      <c r="G1136" s="26" t="s">
        <v>273</v>
      </c>
      <c r="H1136" s="47">
        <v>150000</v>
      </c>
      <c r="I1136" s="28"/>
      <c r="J1136" s="229" t="str">
        <f>HYPERLINK("https://drive.google.com/open?id=0B2rLR4BADrBtYlFWUVBkR25uN0U","5660")</f>
        <v>5660</v>
      </c>
      <c r="K1136" s="149"/>
      <c r="L1136" s="31"/>
      <c r="M1136" s="46"/>
      <c r="N1136" s="32"/>
      <c r="O1136" s="32"/>
      <c r="P1136" s="32"/>
      <c r="Q1136" s="32"/>
      <c r="R1136" s="32"/>
      <c r="S1136" s="32"/>
      <c r="T1136" s="83" t="s">
        <v>1273</v>
      </c>
      <c r="U1136" s="83">
        <f t="shared" si="32"/>
        <v>2563</v>
      </c>
      <c r="V1136" s="36" t="str">
        <f t="shared" si="33"/>
        <v>56</v>
      </c>
      <c r="W1136" s="39">
        <f t="shared" si="34"/>
        <v>-1</v>
      </c>
      <c r="X1136" s="40"/>
      <c r="Y1136" s="40"/>
      <c r="Z1136" s="40"/>
      <c r="AA1136" s="40"/>
    </row>
    <row r="1137" spans="1:27" ht="56.25">
      <c r="A1137" s="17" t="s">
        <v>72</v>
      </c>
      <c r="B1137" s="20">
        <v>6115</v>
      </c>
      <c r="C1137" s="21" t="s">
        <v>37</v>
      </c>
      <c r="D1137" s="44" t="s">
        <v>1349</v>
      </c>
      <c r="E1137" s="21">
        <v>57</v>
      </c>
      <c r="F1137" s="46" t="s">
        <v>1350</v>
      </c>
      <c r="G1137" s="26" t="s">
        <v>78</v>
      </c>
      <c r="H1137" s="47">
        <v>1500000</v>
      </c>
      <c r="I1137" s="28"/>
      <c r="J1137" s="229" t="str">
        <f>HYPERLINK("https://drive.google.com/open?id=0B2rLR4BADrBtYklYSERJd09WVjg","6115")</f>
        <v>6115</v>
      </c>
      <c r="K1137" s="137" t="str">
        <f>HYPERLINK("https://drive.google.com/drive/folders/0BwN2QqBc2z4QfjhLT3VXcmMxTVZyVWNMWTc0MkJJMlU0UnB3eTljcl95NlNudVl0U21IdkU","6115")</f>
        <v>6115</v>
      </c>
      <c r="L1137" s="138"/>
      <c r="M1137" s="74"/>
      <c r="N1137" s="32"/>
      <c r="O1137" s="32"/>
      <c r="P1137" s="32"/>
      <c r="Q1137" s="32"/>
      <c r="R1137" s="32"/>
      <c r="S1137" s="32"/>
      <c r="T1137" s="83">
        <v>15</v>
      </c>
      <c r="U1137" s="83">
        <f t="shared" si="32"/>
        <v>2570</v>
      </c>
      <c r="V1137" s="36" t="str">
        <f t="shared" si="33"/>
        <v>61</v>
      </c>
      <c r="W1137" s="39">
        <f t="shared" si="34"/>
        <v>-1</v>
      </c>
      <c r="X1137" s="40"/>
      <c r="Y1137" s="40"/>
      <c r="Z1137" s="40"/>
      <c r="AA1137" s="40"/>
    </row>
    <row r="1138" spans="1:27" ht="56.25">
      <c r="A1138" s="17" t="s">
        <v>72</v>
      </c>
      <c r="B1138" s="20">
        <v>6115</v>
      </c>
      <c r="C1138" s="21" t="s">
        <v>372</v>
      </c>
      <c r="D1138" s="44" t="s">
        <v>1371</v>
      </c>
      <c r="E1138" s="21">
        <v>54</v>
      </c>
      <c r="F1138" s="46" t="s">
        <v>1372</v>
      </c>
      <c r="G1138" s="26" t="s">
        <v>78</v>
      </c>
      <c r="H1138" s="47">
        <v>530000</v>
      </c>
      <c r="I1138" s="28"/>
      <c r="J1138" s="229" t="str">
        <f>HYPERLINK("https://drive.google.com/open?id=0B2rLR4BADrBtM0FCZGV5TW44UGc","6115")</f>
        <v>6115</v>
      </c>
      <c r="K1138" s="137" t="str">
        <f>HYPERLINK("https://drive.google.com/drive/folders/0BwN2QqBc2z4QfjhLT3VXcmMxTVZyVWNMWTc0MkJJMlU0UnB3eTljcl95NlNudVl0U21IdkU","6115")</f>
        <v>6115</v>
      </c>
      <c r="L1138" s="138"/>
      <c r="M1138" s="46"/>
      <c r="N1138" s="32"/>
      <c r="O1138" s="32"/>
      <c r="P1138" s="32"/>
      <c r="Q1138" s="32"/>
      <c r="R1138" s="32"/>
      <c r="S1138" s="32"/>
      <c r="T1138" s="34">
        <v>15</v>
      </c>
      <c r="U1138" s="34">
        <f t="shared" si="32"/>
        <v>2567</v>
      </c>
      <c r="V1138" s="36" t="str">
        <f t="shared" si="33"/>
        <v>61</v>
      </c>
      <c r="W1138" s="39">
        <f t="shared" si="34"/>
        <v>-1</v>
      </c>
      <c r="X1138" s="40" t="s">
        <v>548</v>
      </c>
      <c r="Y1138" s="40"/>
      <c r="Z1138" s="40"/>
      <c r="AA1138" s="40"/>
    </row>
    <row r="1139" spans="1:27" ht="56.25">
      <c r="A1139" s="17" t="s">
        <v>72</v>
      </c>
      <c r="B1139" s="20">
        <v>6115</v>
      </c>
      <c r="C1139" s="21" t="s">
        <v>372</v>
      </c>
      <c r="D1139" s="44" t="s">
        <v>1376</v>
      </c>
      <c r="E1139" s="21">
        <v>53</v>
      </c>
      <c r="F1139" s="46" t="s">
        <v>1377</v>
      </c>
      <c r="G1139" s="26" t="s">
        <v>78</v>
      </c>
      <c r="H1139" s="47">
        <v>200000</v>
      </c>
      <c r="I1139" s="28"/>
      <c r="J1139" s="229" t="str">
        <f>HYPERLINK("https://drive.google.com/open?id=0B2rLR4BADrBtUzhhVXVrVjg3Y1E","6115")</f>
        <v>6115</v>
      </c>
      <c r="K1139" s="137" t="str">
        <f>HYPERLINK("https://drive.google.com/drive/folders/0BwN2QqBc2z4QfjhLT3VXcmMxTVZyVWNMWTc0MkJJMlU0UnB3eTljcl95NlNudVl0U21IdkU","6115")</f>
        <v>6115</v>
      </c>
      <c r="L1139" s="138"/>
      <c r="M1139" s="46"/>
      <c r="N1139" s="32"/>
      <c r="O1139" s="32"/>
      <c r="P1139" s="32"/>
      <c r="Q1139" s="32"/>
      <c r="R1139" s="32"/>
      <c r="S1139" s="32"/>
      <c r="T1139" s="34">
        <v>15</v>
      </c>
      <c r="U1139" s="34">
        <f t="shared" si="32"/>
        <v>2566</v>
      </c>
      <c r="V1139" s="36" t="str">
        <f t="shared" si="33"/>
        <v>61</v>
      </c>
      <c r="W1139" s="39">
        <f t="shared" si="34"/>
        <v>-1</v>
      </c>
      <c r="X1139" s="40" t="s">
        <v>548</v>
      </c>
      <c r="Y1139" s="40"/>
      <c r="Z1139" s="40"/>
      <c r="AA1139" s="40"/>
    </row>
    <row r="1140" spans="1:27" ht="56.25">
      <c r="A1140" s="17" t="s">
        <v>72</v>
      </c>
      <c r="B1140" s="20">
        <v>6115</v>
      </c>
      <c r="C1140" s="21" t="s">
        <v>372</v>
      </c>
      <c r="D1140" s="44" t="s">
        <v>1380</v>
      </c>
      <c r="E1140" s="21">
        <v>52</v>
      </c>
      <c r="F1140" s="46" t="s">
        <v>1381</v>
      </c>
      <c r="G1140" s="26" t="s">
        <v>78</v>
      </c>
      <c r="H1140" s="47">
        <v>100000</v>
      </c>
      <c r="I1140" s="28"/>
      <c r="J1140" s="229" t="str">
        <f>HYPERLINK("https://drive.google.com/open?id=0B2rLR4BADrBtYUJjcVczekVfY0U","6115")</f>
        <v>6115</v>
      </c>
      <c r="K1140" s="137" t="str">
        <f>HYPERLINK("https://drive.google.com/drive/folders/0BwN2QqBc2z4QfjhLT3VXcmMxTVZyVWNMWTc0MkJJMlU0UnB3eTljcl95NlNudVl0U21IdkU","6115")</f>
        <v>6115</v>
      </c>
      <c r="L1140" s="138"/>
      <c r="M1140" s="46"/>
      <c r="N1140" s="32"/>
      <c r="O1140" s="32"/>
      <c r="P1140" s="32"/>
      <c r="Q1140" s="32"/>
      <c r="R1140" s="32"/>
      <c r="S1140" s="32"/>
      <c r="T1140" s="34">
        <v>15</v>
      </c>
      <c r="U1140" s="34">
        <f t="shared" si="32"/>
        <v>2565</v>
      </c>
      <c r="V1140" s="36" t="str">
        <f t="shared" si="33"/>
        <v>61</v>
      </c>
      <c r="W1140" s="39">
        <f t="shared" si="34"/>
        <v>-1</v>
      </c>
      <c r="X1140" s="40" t="s">
        <v>548</v>
      </c>
      <c r="Y1140" s="40"/>
      <c r="Z1140" s="40"/>
      <c r="AA1140" s="40"/>
    </row>
    <row r="1141" spans="1:27" ht="75">
      <c r="A1141" s="17" t="s">
        <v>72</v>
      </c>
      <c r="B1141" s="20">
        <v>6240</v>
      </c>
      <c r="C1141" s="21" t="s">
        <v>372</v>
      </c>
      <c r="D1141" s="44" t="s">
        <v>1400</v>
      </c>
      <c r="E1141" s="21">
        <v>59</v>
      </c>
      <c r="F1141" s="74" t="s">
        <v>4069</v>
      </c>
      <c r="G1141" s="26" t="s">
        <v>53</v>
      </c>
      <c r="H1141" s="47">
        <v>15550</v>
      </c>
      <c r="I1141" s="27"/>
      <c r="J1141" s="229" t="str">
        <f>HYPERLINK("https://drive.google.com/open?id=0B2vBTVEfSzItZlFudGZQMHZCTzA","6240")</f>
        <v>6240</v>
      </c>
      <c r="K1141" s="137"/>
      <c r="L1141" s="138"/>
      <c r="M1141" s="87" t="s">
        <v>4070</v>
      </c>
      <c r="N1141" s="32"/>
      <c r="O1141" s="32"/>
      <c r="P1141" s="32"/>
      <c r="Q1141" s="32"/>
      <c r="R1141" s="32"/>
      <c r="S1141" s="32"/>
      <c r="T1141" s="34"/>
      <c r="U1141" s="34">
        <f t="shared" si="32"/>
        <v>2557</v>
      </c>
      <c r="V1141" s="36" t="str">
        <f t="shared" si="33"/>
        <v>62</v>
      </c>
      <c r="W1141" s="39" t="e">
        <v>#VALUE!</v>
      </c>
      <c r="X1141" s="40" t="s">
        <v>548</v>
      </c>
      <c r="Y1141" s="40"/>
      <c r="Z1141" s="40"/>
      <c r="AA1141" s="40"/>
    </row>
    <row r="1142" spans="1:27" ht="75">
      <c r="A1142" s="17" t="s">
        <v>72</v>
      </c>
      <c r="B1142" s="20">
        <v>6240</v>
      </c>
      <c r="C1142" s="21" t="s">
        <v>372</v>
      </c>
      <c r="D1142" s="44" t="s">
        <v>1401</v>
      </c>
      <c r="E1142" s="21">
        <v>59</v>
      </c>
      <c r="F1142" s="74" t="s">
        <v>4071</v>
      </c>
      <c r="G1142" s="26" t="s">
        <v>53</v>
      </c>
      <c r="H1142" s="47">
        <v>38000</v>
      </c>
      <c r="I1142" s="27"/>
      <c r="J1142" s="229" t="str">
        <f>HYPERLINK("https://drive.google.com/open?id=0B2vBTVEfSzItU0pTdGtGLTBhdmM","6240")</f>
        <v>6240</v>
      </c>
      <c r="K1142" s="137"/>
      <c r="L1142" s="138"/>
      <c r="M1142" s="87" t="s">
        <v>4070</v>
      </c>
      <c r="N1142" s="32"/>
      <c r="O1142" s="32"/>
      <c r="P1142" s="32"/>
      <c r="Q1142" s="32"/>
      <c r="R1142" s="32"/>
      <c r="S1142" s="32"/>
      <c r="T1142" s="34"/>
      <c r="U1142" s="34">
        <f t="shared" si="32"/>
        <v>2557</v>
      </c>
      <c r="V1142" s="36" t="str">
        <f t="shared" si="33"/>
        <v>62</v>
      </c>
      <c r="W1142" s="39" t="e">
        <v>#VALUE!</v>
      </c>
      <c r="X1142" s="40" t="s">
        <v>548</v>
      </c>
      <c r="Y1142" s="40"/>
      <c r="Z1142" s="40"/>
      <c r="AA1142" s="40"/>
    </row>
    <row r="1143" spans="1:27" ht="75">
      <c r="A1143" s="17" t="s">
        <v>72</v>
      </c>
      <c r="B1143" s="20">
        <v>6240</v>
      </c>
      <c r="C1143" s="21" t="s">
        <v>372</v>
      </c>
      <c r="D1143" s="44" t="s">
        <v>1402</v>
      </c>
      <c r="E1143" s="21">
        <v>59</v>
      </c>
      <c r="F1143" s="74" t="s">
        <v>4072</v>
      </c>
      <c r="G1143" s="26" t="s">
        <v>53</v>
      </c>
      <c r="H1143" s="47">
        <v>8000</v>
      </c>
      <c r="I1143" s="27"/>
      <c r="J1143" s="229" t="str">
        <f>HYPERLINK("https://drive.google.com/open?id=0B2vBTVEfSzItRENVVk1uT01WVjA","6240")</f>
        <v>6240</v>
      </c>
      <c r="K1143" s="137"/>
      <c r="L1143" s="138"/>
      <c r="M1143" s="87" t="s">
        <v>4070</v>
      </c>
      <c r="N1143" s="32"/>
      <c r="O1143" s="32"/>
      <c r="P1143" s="32"/>
      <c r="Q1143" s="32"/>
      <c r="R1143" s="32"/>
      <c r="S1143" s="32"/>
      <c r="T1143" s="34"/>
      <c r="U1143" s="34">
        <f t="shared" si="32"/>
        <v>2557</v>
      </c>
      <c r="V1143" s="36" t="str">
        <f t="shared" si="33"/>
        <v>62</v>
      </c>
      <c r="W1143" s="39" t="e">
        <v>#VALUE!</v>
      </c>
      <c r="X1143" s="40" t="s">
        <v>548</v>
      </c>
      <c r="Y1143" s="40"/>
      <c r="Z1143" s="40"/>
      <c r="AA1143" s="40"/>
    </row>
    <row r="1144" spans="1:27" ht="75">
      <c r="A1144" s="17" t="s">
        <v>72</v>
      </c>
      <c r="B1144" s="20">
        <v>6240</v>
      </c>
      <c r="C1144" s="21" t="s">
        <v>372</v>
      </c>
      <c r="D1144" s="44" t="s">
        <v>1403</v>
      </c>
      <c r="E1144" s="21">
        <v>59</v>
      </c>
      <c r="F1144" s="74" t="s">
        <v>4073</v>
      </c>
      <c r="G1144" s="26" t="s">
        <v>53</v>
      </c>
      <c r="H1144" s="47">
        <v>13300</v>
      </c>
      <c r="I1144" s="27"/>
      <c r="J1144" s="229" t="str">
        <f>HYPERLINK("https://drive.google.com/open?id=0B2vBTVEfSzItZ1ZxR21YTTFUMnc","6240")</f>
        <v>6240</v>
      </c>
      <c r="K1144" s="137"/>
      <c r="L1144" s="138"/>
      <c r="M1144" s="87" t="s">
        <v>4070</v>
      </c>
      <c r="N1144" s="32"/>
      <c r="O1144" s="32"/>
      <c r="P1144" s="32"/>
      <c r="Q1144" s="32"/>
      <c r="R1144" s="32"/>
      <c r="S1144" s="32"/>
      <c r="T1144" s="34"/>
      <c r="U1144" s="34">
        <f t="shared" si="32"/>
        <v>2557</v>
      </c>
      <c r="V1144" s="36" t="str">
        <f t="shared" si="33"/>
        <v>62</v>
      </c>
      <c r="W1144" s="39" t="e">
        <v>#VALUE!</v>
      </c>
      <c r="X1144" s="40" t="s">
        <v>548</v>
      </c>
      <c r="Y1144" s="40"/>
      <c r="Z1144" s="40"/>
      <c r="AA1144" s="40"/>
    </row>
    <row r="1145" spans="1:27" ht="75">
      <c r="A1145" s="17" t="s">
        <v>72</v>
      </c>
      <c r="B1145" s="20">
        <v>6240</v>
      </c>
      <c r="C1145" s="21" t="s">
        <v>372</v>
      </c>
      <c r="D1145" s="44" t="s">
        <v>1404</v>
      </c>
      <c r="E1145" s="21">
        <v>59</v>
      </c>
      <c r="F1145" s="74" t="s">
        <v>4074</v>
      </c>
      <c r="G1145" s="26" t="s">
        <v>53</v>
      </c>
      <c r="H1145" s="47">
        <v>6500</v>
      </c>
      <c r="I1145" s="27"/>
      <c r="J1145" s="229" t="str">
        <f>HYPERLINK("https://drive.google.com/open?id=0B2vBTVEfSzItbmZIVjhnZGxEQ28","6240")</f>
        <v>6240</v>
      </c>
      <c r="K1145" s="137"/>
      <c r="L1145" s="138"/>
      <c r="M1145" s="87" t="s">
        <v>4070</v>
      </c>
      <c r="N1145" s="32"/>
      <c r="O1145" s="32"/>
      <c r="P1145" s="32"/>
      <c r="Q1145" s="32"/>
      <c r="R1145" s="32"/>
      <c r="S1145" s="32"/>
      <c r="T1145" s="34"/>
      <c r="U1145" s="34">
        <f t="shared" si="32"/>
        <v>2557</v>
      </c>
      <c r="V1145" s="36" t="str">
        <f t="shared" si="33"/>
        <v>62</v>
      </c>
      <c r="W1145" s="39" t="e">
        <v>#VALUE!</v>
      </c>
      <c r="X1145" s="40" t="s">
        <v>548</v>
      </c>
      <c r="Y1145" s="40"/>
      <c r="Z1145" s="40"/>
      <c r="AA1145" s="40"/>
    </row>
    <row r="1146" spans="1:27" ht="75">
      <c r="A1146" s="17" t="s">
        <v>72</v>
      </c>
      <c r="B1146" s="20">
        <v>6240</v>
      </c>
      <c r="C1146" s="21" t="s">
        <v>372</v>
      </c>
      <c r="D1146" s="44" t="s">
        <v>1405</v>
      </c>
      <c r="E1146" s="21">
        <v>59</v>
      </c>
      <c r="F1146" s="74" t="s">
        <v>4075</v>
      </c>
      <c r="G1146" s="26" t="s">
        <v>53</v>
      </c>
      <c r="H1146" s="47">
        <v>11000</v>
      </c>
      <c r="I1146" s="27"/>
      <c r="J1146" s="229" t="str">
        <f>HYPERLINK("https://drive.google.com/open?id=0B2vBTVEfSzItR1VrMFlQU2VrYXM","6240")</f>
        <v>6240</v>
      </c>
      <c r="K1146" s="137"/>
      <c r="L1146" s="138"/>
      <c r="M1146" s="87" t="s">
        <v>4070</v>
      </c>
      <c r="N1146" s="32"/>
      <c r="O1146" s="32"/>
      <c r="P1146" s="32"/>
      <c r="Q1146" s="32"/>
      <c r="R1146" s="32"/>
      <c r="S1146" s="32"/>
      <c r="T1146" s="34"/>
      <c r="U1146" s="34">
        <f t="shared" si="32"/>
        <v>2557</v>
      </c>
      <c r="V1146" s="36" t="str">
        <f t="shared" si="33"/>
        <v>62</v>
      </c>
      <c r="W1146" s="39" t="e">
        <v>#VALUE!</v>
      </c>
      <c r="X1146" s="40" t="s">
        <v>548</v>
      </c>
      <c r="Y1146" s="40"/>
      <c r="Z1146" s="40"/>
      <c r="AA1146" s="40"/>
    </row>
    <row r="1147" spans="1:27" ht="75">
      <c r="A1147" s="17" t="s">
        <v>72</v>
      </c>
      <c r="B1147" s="20">
        <v>6240</v>
      </c>
      <c r="C1147" s="21" t="s">
        <v>372</v>
      </c>
      <c r="D1147" s="44" t="s">
        <v>1406</v>
      </c>
      <c r="E1147" s="21">
        <v>59</v>
      </c>
      <c r="F1147" s="74" t="s">
        <v>4076</v>
      </c>
      <c r="G1147" s="26" t="s">
        <v>53</v>
      </c>
      <c r="H1147" s="47">
        <v>11300</v>
      </c>
      <c r="I1147" s="27"/>
      <c r="J1147" s="229" t="str">
        <f>HYPERLINK("https://drive.google.com/open?id=0B2vBTVEfSzItWWVrS0lZUVlZd2s","6240")</f>
        <v>6240</v>
      </c>
      <c r="K1147" s="137"/>
      <c r="L1147" s="138"/>
      <c r="M1147" s="87" t="s">
        <v>4070</v>
      </c>
      <c r="N1147" s="32"/>
      <c r="O1147" s="32"/>
      <c r="P1147" s="32"/>
      <c r="Q1147" s="32"/>
      <c r="R1147" s="32"/>
      <c r="S1147" s="32"/>
      <c r="T1147" s="34"/>
      <c r="U1147" s="34">
        <f t="shared" si="32"/>
        <v>2557</v>
      </c>
      <c r="V1147" s="36" t="str">
        <f t="shared" si="33"/>
        <v>62</v>
      </c>
      <c r="W1147" s="39" t="e">
        <v>#VALUE!</v>
      </c>
      <c r="X1147" s="40" t="s">
        <v>548</v>
      </c>
      <c r="Y1147" s="40"/>
      <c r="Z1147" s="40"/>
      <c r="AA1147" s="40"/>
    </row>
    <row r="1148" spans="1:27" ht="56.25">
      <c r="A1148" s="17" t="s">
        <v>72</v>
      </c>
      <c r="B1148" s="20">
        <v>6695</v>
      </c>
      <c r="C1148" s="21" t="s">
        <v>63</v>
      </c>
      <c r="D1148" s="44" t="s">
        <v>1411</v>
      </c>
      <c r="E1148" s="21">
        <v>53</v>
      </c>
      <c r="F1148" s="46" t="s">
        <v>1412</v>
      </c>
      <c r="G1148" s="26" t="s">
        <v>53</v>
      </c>
      <c r="H1148" s="47"/>
      <c r="I1148" s="28"/>
      <c r="J1148" s="229" t="str">
        <f>HYPERLINK("https://drive.google.com/open?id=0B2vBTVEfSzItaEFuTHFlUWFOQVk","6695")</f>
        <v>6695</v>
      </c>
      <c r="K1148" s="137" t="str">
        <f>HYPERLINK("https://drive.google.com/drive/folders/0BwQ57SNHxB3BeFJud2ZxbWFuUE0","6695")</f>
        <v>6695</v>
      </c>
      <c r="L1148" s="138"/>
      <c r="M1148" s="87" t="s">
        <v>4047</v>
      </c>
      <c r="N1148" s="32"/>
      <c r="O1148" s="32"/>
      <c r="P1148" s="32"/>
      <c r="Q1148" s="32"/>
      <c r="R1148" s="32"/>
      <c r="S1148" s="32"/>
      <c r="T1148" s="34">
        <v>10</v>
      </c>
      <c r="U1148" s="34">
        <f t="shared" si="32"/>
        <v>2561</v>
      </c>
      <c r="V1148" s="36" t="str">
        <f t="shared" si="33"/>
        <v>66</v>
      </c>
      <c r="W1148" s="39">
        <f>COUNTIF($V$4:$V$352,V1148)-1</f>
        <v>-1</v>
      </c>
      <c r="X1148" s="40"/>
      <c r="Y1148" s="40"/>
      <c r="Z1148" s="40"/>
      <c r="AA1148" s="40"/>
    </row>
    <row r="1149" spans="1:27" ht="18.75">
      <c r="A1149" s="17"/>
      <c r="B1149" s="20"/>
      <c r="C1149" s="21"/>
      <c r="D1149" s="44"/>
      <c r="E1149" s="21"/>
      <c r="F1149" s="46"/>
      <c r="G1149" s="26"/>
      <c r="H1149" s="47"/>
      <c r="I1149" s="28"/>
      <c r="J1149" s="229"/>
      <c r="K1149" s="137"/>
      <c r="L1149" s="138"/>
      <c r="M1149" s="87"/>
      <c r="N1149" s="32"/>
      <c r="O1149" s="32"/>
      <c r="P1149" s="32"/>
      <c r="Q1149" s="32"/>
      <c r="R1149" s="32"/>
      <c r="S1149" s="32"/>
      <c r="T1149" s="34"/>
      <c r="U1149" s="34"/>
      <c r="V1149" s="36"/>
      <c r="W1149" s="39"/>
      <c r="X1149" s="40"/>
      <c r="Y1149" s="40"/>
      <c r="Z1149" s="40"/>
      <c r="AA1149" s="40"/>
    </row>
    <row r="1150" spans="1:27" ht="18.75">
      <c r="A1150" s="17"/>
      <c r="B1150" s="20"/>
      <c r="C1150" s="21"/>
      <c r="D1150" s="44"/>
      <c r="E1150" s="21"/>
      <c r="F1150" s="46"/>
      <c r="G1150" s="26"/>
      <c r="H1150" s="47"/>
      <c r="I1150" s="28"/>
      <c r="J1150" s="229"/>
      <c r="K1150" s="137"/>
      <c r="L1150" s="138"/>
      <c r="M1150" s="87"/>
      <c r="N1150" s="32"/>
      <c r="O1150" s="32"/>
      <c r="P1150" s="32"/>
      <c r="Q1150" s="32"/>
      <c r="R1150" s="32"/>
      <c r="S1150" s="32"/>
      <c r="T1150" s="34"/>
      <c r="U1150" s="34"/>
      <c r="V1150" s="36"/>
      <c r="W1150" s="39"/>
      <c r="X1150" s="40"/>
      <c r="Y1150" s="40"/>
      <c r="Z1150" s="40"/>
      <c r="AA1150" s="40"/>
    </row>
    <row r="1151" spans="1:27" ht="18.75">
      <c r="A1151" s="17"/>
      <c r="B1151" s="20"/>
      <c r="C1151" s="21"/>
      <c r="D1151" s="44"/>
      <c r="E1151" s="21"/>
      <c r="F1151" s="46"/>
      <c r="G1151" s="26"/>
      <c r="H1151" s="47"/>
      <c r="I1151" s="28"/>
      <c r="J1151" s="229"/>
      <c r="K1151" s="137"/>
      <c r="L1151" s="138"/>
      <c r="M1151" s="87"/>
      <c r="N1151" s="32"/>
      <c r="O1151" s="32"/>
      <c r="P1151" s="32"/>
      <c r="Q1151" s="32"/>
      <c r="R1151" s="32"/>
      <c r="S1151" s="32"/>
      <c r="T1151" s="34"/>
      <c r="U1151" s="34"/>
      <c r="V1151" s="36"/>
      <c r="W1151" s="39"/>
      <c r="X1151" s="40"/>
      <c r="Y1151" s="40"/>
      <c r="Z1151" s="40"/>
      <c r="AA1151" s="40"/>
    </row>
    <row r="1152" spans="1:27" ht="18.75">
      <c r="A1152" s="17"/>
      <c r="B1152" s="20"/>
      <c r="C1152" s="21"/>
      <c r="D1152" s="44"/>
      <c r="E1152" s="21"/>
      <c r="F1152" s="46"/>
      <c r="G1152" s="26"/>
      <c r="H1152" s="47"/>
      <c r="I1152" s="28"/>
      <c r="J1152" s="229"/>
      <c r="K1152" s="137"/>
      <c r="L1152" s="138"/>
      <c r="M1152" s="87"/>
      <c r="N1152" s="32"/>
      <c r="O1152" s="32"/>
      <c r="P1152" s="32"/>
      <c r="Q1152" s="32"/>
      <c r="R1152" s="32"/>
      <c r="S1152" s="32"/>
      <c r="T1152" s="34"/>
      <c r="U1152" s="34"/>
      <c r="V1152" s="36"/>
      <c r="W1152" s="39"/>
      <c r="X1152" s="40"/>
      <c r="Y1152" s="40"/>
      <c r="Z1152" s="40"/>
      <c r="AA1152" s="40"/>
    </row>
    <row r="1153" spans="1:27" ht="18.75">
      <c r="A1153" s="17"/>
      <c r="B1153" s="20"/>
      <c r="C1153" s="21"/>
      <c r="D1153" s="44"/>
      <c r="E1153" s="21"/>
      <c r="F1153" s="46"/>
      <c r="G1153" s="26"/>
      <c r="H1153" s="47"/>
      <c r="I1153" s="28"/>
      <c r="J1153" s="229"/>
      <c r="K1153" s="137"/>
      <c r="L1153" s="138"/>
      <c r="M1153" s="87"/>
      <c r="N1153" s="32"/>
      <c r="O1153" s="32"/>
      <c r="P1153" s="32"/>
      <c r="Q1153" s="32"/>
      <c r="R1153" s="32"/>
      <c r="S1153" s="32"/>
      <c r="T1153" s="34"/>
      <c r="U1153" s="34"/>
      <c r="V1153" s="36"/>
      <c r="W1153" s="39"/>
      <c r="X1153" s="40"/>
      <c r="Y1153" s="40"/>
      <c r="Z1153" s="40"/>
      <c r="AA1153" s="40"/>
    </row>
    <row r="1154" spans="1:27" ht="18.75">
      <c r="A1154" s="17"/>
      <c r="B1154" s="20"/>
      <c r="C1154" s="21"/>
      <c r="D1154" s="44"/>
      <c r="E1154" s="21"/>
      <c r="F1154" s="46"/>
      <c r="G1154" s="26"/>
      <c r="H1154" s="47"/>
      <c r="I1154" s="28"/>
      <c r="J1154" s="229"/>
      <c r="K1154" s="137"/>
      <c r="L1154" s="138"/>
      <c r="M1154" s="87"/>
      <c r="N1154" s="32"/>
      <c r="O1154" s="32"/>
      <c r="P1154" s="32"/>
      <c r="Q1154" s="32"/>
      <c r="R1154" s="32"/>
      <c r="S1154" s="32"/>
      <c r="T1154" s="34"/>
      <c r="U1154" s="34"/>
      <c r="V1154" s="36"/>
      <c r="W1154" s="39"/>
      <c r="X1154" s="40"/>
      <c r="Y1154" s="40"/>
      <c r="Z1154" s="40"/>
      <c r="AA1154" s="40"/>
    </row>
    <row r="1155" spans="1:27" ht="18.75">
      <c r="A1155" s="17"/>
      <c r="B1155" s="20"/>
      <c r="C1155" s="21"/>
      <c r="D1155" s="44"/>
      <c r="E1155" s="21"/>
      <c r="F1155" s="46"/>
      <c r="G1155" s="26"/>
      <c r="H1155" s="47"/>
      <c r="I1155" s="28"/>
      <c r="J1155" s="229"/>
      <c r="K1155" s="137"/>
      <c r="L1155" s="138"/>
      <c r="M1155" s="87"/>
      <c r="N1155" s="32"/>
      <c r="O1155" s="32"/>
      <c r="P1155" s="32"/>
      <c r="Q1155" s="32"/>
      <c r="R1155" s="32"/>
      <c r="S1155" s="32"/>
      <c r="T1155" s="34"/>
      <c r="U1155" s="34"/>
      <c r="V1155" s="36"/>
      <c r="W1155" s="39"/>
      <c r="X1155" s="40"/>
      <c r="Y1155" s="40"/>
      <c r="Z1155" s="40"/>
      <c r="AA1155" s="40"/>
    </row>
    <row r="1156" spans="1:27" ht="18.75">
      <c r="A1156" s="17"/>
      <c r="B1156" s="20"/>
      <c r="C1156" s="21"/>
      <c r="D1156" s="44"/>
      <c r="E1156" s="21"/>
      <c r="F1156" s="46"/>
      <c r="G1156" s="26"/>
      <c r="H1156" s="47"/>
      <c r="I1156" s="28"/>
      <c r="J1156" s="229"/>
      <c r="K1156" s="137"/>
      <c r="L1156" s="138"/>
      <c r="M1156" s="87"/>
      <c r="N1156" s="32"/>
      <c r="O1156" s="32"/>
      <c r="P1156" s="32"/>
      <c r="Q1156" s="32"/>
      <c r="R1156" s="32"/>
      <c r="S1156" s="32"/>
      <c r="T1156" s="34"/>
      <c r="U1156" s="34"/>
      <c r="V1156" s="36"/>
      <c r="W1156" s="39"/>
      <c r="X1156" s="40"/>
      <c r="Y1156" s="40"/>
      <c r="Z1156" s="40"/>
      <c r="AA1156" s="40"/>
    </row>
    <row r="1157" spans="1:27" ht="18.75">
      <c r="A1157" s="17"/>
      <c r="B1157" s="20"/>
      <c r="C1157" s="21"/>
      <c r="D1157" s="44"/>
      <c r="E1157" s="21"/>
      <c r="F1157" s="46"/>
      <c r="G1157" s="26"/>
      <c r="H1157" s="47"/>
      <c r="I1157" s="28"/>
      <c r="J1157" s="229"/>
      <c r="K1157" s="137"/>
      <c r="L1157" s="138"/>
      <c r="M1157" s="87"/>
      <c r="N1157" s="32"/>
      <c r="O1157" s="32"/>
      <c r="P1157" s="32"/>
      <c r="Q1157" s="32"/>
      <c r="R1157" s="32"/>
      <c r="S1157" s="32"/>
      <c r="T1157" s="34"/>
      <c r="U1157" s="34"/>
      <c r="V1157" s="36"/>
      <c r="W1157" s="39"/>
      <c r="X1157" s="40"/>
      <c r="Y1157" s="40"/>
      <c r="Z1157" s="40"/>
      <c r="AA1157" s="40"/>
    </row>
    <row r="1158" spans="1:27" ht="18.75">
      <c r="A1158" s="17"/>
      <c r="B1158" s="20"/>
      <c r="C1158" s="21"/>
      <c r="D1158" s="44"/>
      <c r="E1158" s="21"/>
      <c r="F1158" s="46"/>
      <c r="G1158" s="26"/>
      <c r="H1158" s="47"/>
      <c r="I1158" s="28"/>
      <c r="J1158" s="229"/>
      <c r="K1158" s="137"/>
      <c r="L1158" s="138"/>
      <c r="M1158" s="87"/>
      <c r="N1158" s="32"/>
      <c r="O1158" s="32"/>
      <c r="P1158" s="32"/>
      <c r="Q1158" s="32"/>
      <c r="R1158" s="32"/>
      <c r="S1158" s="32"/>
      <c r="T1158" s="34"/>
      <c r="U1158" s="34"/>
      <c r="V1158" s="36"/>
      <c r="W1158" s="39"/>
      <c r="X1158" s="40"/>
      <c r="Y1158" s="40"/>
      <c r="Z1158" s="40"/>
      <c r="AA1158" s="40"/>
    </row>
  </sheetData>
  <autoFilter ref="A1:AA1148" xr:uid="{00000000-0009-0000-0000-000013000000}"/>
  <conditionalFormatting sqref="H1148:H1158">
    <cfRule type="containsBlanks" dxfId="148" priority="1">
      <formula>LEN(TRIM(H1148))=0</formula>
    </cfRule>
  </conditionalFormatting>
  <conditionalFormatting sqref="N1138:S1140">
    <cfRule type="cellIs" dxfId="147" priority="2" operator="equal">
      <formula>"พร้อม"</formula>
    </cfRule>
  </conditionalFormatting>
  <conditionalFormatting sqref="H1140">
    <cfRule type="containsBlanks" dxfId="146" priority="3">
      <formula>LEN(TRIM(H1140))=0</formula>
    </cfRule>
  </conditionalFormatting>
  <conditionalFormatting sqref="G1140">
    <cfRule type="containsBlanks" dxfId="145" priority="4">
      <formula>LEN(TRIM(G1140))=0</formula>
    </cfRule>
  </conditionalFormatting>
  <conditionalFormatting sqref="N11:R11 N1077:S1158">
    <cfRule type="cellIs" dxfId="144" priority="5" operator="equal">
      <formula>1</formula>
    </cfRule>
  </conditionalFormatting>
  <conditionalFormatting sqref="H1137">
    <cfRule type="containsBlanks" dxfId="143" priority="6">
      <formula>LEN(TRIM(H1137))=0</formula>
    </cfRule>
  </conditionalFormatting>
  <conditionalFormatting sqref="A11 A1077:A1158">
    <cfRule type="notContainsBlanks" dxfId="142" priority="7">
      <formula>LEN(TRIM(A11))&gt;0</formula>
    </cfRule>
  </conditionalFormatting>
  <conditionalFormatting sqref="N11:R11 N1077:S1158">
    <cfRule type="cellIs" dxfId="141" priority="8" operator="equal">
      <formula>1</formula>
    </cfRule>
  </conditionalFormatting>
  <conditionalFormatting sqref="N1128:S1129">
    <cfRule type="cellIs" dxfId="140" priority="9" operator="equal">
      <formula>"พร้อม"</formula>
    </cfRule>
  </conditionalFormatting>
  <conditionalFormatting sqref="A11 A1077:A1158">
    <cfRule type="containsText" dxfId="139" priority="10" operator="containsText" text="ผ่านการพิจารณาคำแนะนำ รอ จก.ชย.ทอ.ลงนาม">
      <formula>NOT(ISERROR(SEARCH(("ผ่านการพิจารณาคำแนะนำ รอ จก.ชย.ทอ.ลงนาม"),(A11))))</formula>
    </cfRule>
  </conditionalFormatting>
  <conditionalFormatting sqref="A11 A1077:A1158">
    <cfRule type="containsText" dxfId="138" priority="11" operator="containsText" text="รอการขอยกเลิกคุณลักษณะ">
      <formula>NOT(ISERROR(SEARCH(("รอการขอยกเลิกคุณลักษณะ"),(A11))))</formula>
    </cfRule>
  </conditionalFormatting>
  <conditionalFormatting sqref="A11 A1077:A1158">
    <cfRule type="containsText" dxfId="137" priority="12" operator="containsText" text="ผ่านการพิจารณา รอ จก.ชย.ทอ.ลงนาม">
      <formula>NOT(ISERROR(SEARCH(("ผ่านการพิจารณา รอ จก.ชย.ทอ.ลงนาม"),(A11))))</formula>
    </cfRule>
  </conditionalFormatting>
  <conditionalFormatting sqref="A11 A1077:A1158">
    <cfRule type="cellIs" dxfId="136" priority="13" operator="equal">
      <formula>"อยู่ระหว่างการพิจารณา คุณลักษณะฯ"</formula>
    </cfRule>
  </conditionalFormatting>
  <conditionalFormatting sqref="A11 A1077:A1158">
    <cfRule type="containsText" dxfId="135" priority="14" operator="containsText" text="รอการขอยกเลิกคุณลักษณะ">
      <formula>NOT(ISERROR(SEARCH(("รอการขอยกเลิกคุณลักษณะ"),(A11))))</formula>
    </cfRule>
  </conditionalFormatting>
  <conditionalFormatting sqref="A11 A1077:A1158">
    <cfRule type="containsText" dxfId="134" priority="15" operator="containsText" text="ผ่านการพิจารณา รอ จก.ชย.ทอ.ลงนาม">
      <formula>NOT(ISERROR(SEARCH(("ผ่านการพิจารณา รอ จก.ชย.ทอ.ลงนาม"),(A11))))</formula>
    </cfRule>
  </conditionalFormatting>
  <conditionalFormatting sqref="A11 A1077:A1158">
    <cfRule type="cellIs" dxfId="133" priority="16" operator="equal">
      <formula>"อยู่ระหว่างการพิจารณา คุณลักษณะฯ"</formula>
    </cfRule>
  </conditionalFormatting>
  <conditionalFormatting sqref="A11 A1077:A1158">
    <cfRule type="containsText" dxfId="132" priority="17" operator="containsText" text="รอการขอยกเลิกคุณลักษณะ">
      <formula>NOT(ISERROR(SEARCH(("รอการขอยกเลิกคุณลักษณะ"),(A11))))</formula>
    </cfRule>
  </conditionalFormatting>
  <conditionalFormatting sqref="A11 A1077:A1158">
    <cfRule type="containsText" dxfId="131" priority="18" operator="containsText" text="ผ่านการพิจารณา รอ จก.ชย.ทอ.ลงนาม">
      <formula>NOT(ISERROR(SEARCH(("ผ่านการพิจารณา รอ จก.ชย.ทอ.ลงนาม"),(A11))))</formula>
    </cfRule>
  </conditionalFormatting>
  <conditionalFormatting sqref="A11 A1077:A1158">
    <cfRule type="cellIs" dxfId="130" priority="19" operator="equal">
      <formula>"อยู่ระหว่างการพิจารณา คุณลักษณะฯ"</formula>
    </cfRule>
  </conditionalFormatting>
  <conditionalFormatting sqref="A11 A1077:A1158">
    <cfRule type="cellIs" dxfId="129" priority="20" operator="equal">
      <formula>"อยู่ระหว่างการพิจารณา คุณลักษณะฯ"</formula>
    </cfRule>
  </conditionalFormatting>
  <conditionalFormatting sqref="A11 A1077:A1158">
    <cfRule type="containsText" dxfId="128" priority="21" operator="containsText" text="รอการขอยกเลิกคุณลักษณะ">
      <formula>NOT(ISERROR(SEARCH(("รอการขอยกเลิกคุณลักษณะ"),(A11))))</formula>
    </cfRule>
  </conditionalFormatting>
  <conditionalFormatting sqref="A11 A1077:A1158">
    <cfRule type="containsText" dxfId="127" priority="22" operator="containsText" text="ผ่านการพิจารณา รอ จก.ชย.ทอ.ลงนาม">
      <formula>NOT(ISERROR(SEARCH(("ผ่านการพิจารณา รอ จก.ชย.ทอ.ลงนาม"),(A11))))</formula>
    </cfRule>
  </conditionalFormatting>
  <conditionalFormatting sqref="A11 A1077:A1158">
    <cfRule type="cellIs" dxfId="126" priority="23" operator="equal">
      <formula>"อยู่ระหว่างการพิจารณา คุณลักษณะฯ"</formula>
    </cfRule>
  </conditionalFormatting>
  <conditionalFormatting sqref="A11 A1077:A1158">
    <cfRule type="cellIs" dxfId="125" priority="24" operator="equal">
      <formula>"อยู่ระหว่างการพิจารณา คุณลักษณะฯ"</formula>
    </cfRule>
  </conditionalFormatting>
  <conditionalFormatting sqref="A11 A1077:A1158">
    <cfRule type="containsText" dxfId="124" priority="25" operator="containsText" text="รอการขอยกเลิกคุณลักษณะ">
      <formula>NOT(ISERROR(SEARCH(("รอการขอยกเลิกคุณลักษณะ"),(A11))))</formula>
    </cfRule>
  </conditionalFormatting>
  <conditionalFormatting sqref="A11 A1077:A1158">
    <cfRule type="containsText" dxfId="123" priority="26" operator="containsText" text="ผ่านการพิจารณา รอ จก.ชย.ทอ.ลงนาม">
      <formula>NOT(ISERROR(SEARCH(("ผ่านการพิจารณา รอ จก.ชย.ทอ.ลงนาม"),(A11))))</formula>
    </cfRule>
  </conditionalFormatting>
  <conditionalFormatting sqref="A11 A1077:A1158">
    <cfRule type="cellIs" dxfId="122" priority="27" operator="equal">
      <formula>"อยู่ระหว่างการพิจารณา คุณลักษณะฯ"</formula>
    </cfRule>
  </conditionalFormatting>
  <conditionalFormatting sqref="A11 A1077:A1158">
    <cfRule type="containsText" dxfId="121" priority="28" operator="containsText" text="รอการขอยกเลิกคุณลักษณะ">
      <formula>NOT(ISERROR(SEARCH(("รอการขอยกเลิกคุณลักษณะ"),(A11))))</formula>
    </cfRule>
  </conditionalFormatting>
  <conditionalFormatting sqref="D1019:D1158">
    <cfRule type="beginsWith" dxfId="120" priority="29" operator="beginsWith" text="พัสดุ">
      <formula>LEFT((D1019),LEN("พัสดุ"))=("พัสดุ")</formula>
    </cfRule>
  </conditionalFormatting>
  <conditionalFormatting sqref="A1019:A1158">
    <cfRule type="beginsWith" dxfId="119" priority="30" operator="beginsWith" text="เอกสารไม่พร้อม">
      <formula>LEFT((A1019),LEN("เอกสารไม่พร้อม"))=("เอกสารไม่พร้อม")</formula>
    </cfRule>
  </conditionalFormatting>
  <conditionalFormatting sqref="A1019:A1158 D1019:D1158">
    <cfRule type="notContainsBlanks" dxfId="118" priority="31">
      <formula>LEN(TRIM(A1019))&gt;0</formula>
    </cfRule>
  </conditionalFormatting>
  <conditionalFormatting sqref="D1019:D1158">
    <cfRule type="beginsWith" dxfId="117" priority="32" operator="beginsWith" text="พัสดุ">
      <formula>LEFT((D1019),LEN("พัสดุ"))=("พัสดุ")</formula>
    </cfRule>
  </conditionalFormatting>
  <conditionalFormatting sqref="A1019:A1158">
    <cfRule type="beginsWith" dxfId="116" priority="33" operator="beginsWith" text="เอกสารไม่พร้อม">
      <formula>LEFT((A1019),LEN("เอกสารไม่พร้อม"))=("เอกสารไม่พร้อม")</formula>
    </cfRule>
  </conditionalFormatting>
  <conditionalFormatting sqref="A1019:A1158 D1019:D1158">
    <cfRule type="notContainsBlanks" dxfId="115" priority="34">
      <formula>LEN(TRIM(A1019))&gt;0</formula>
    </cfRule>
  </conditionalFormatting>
  <conditionalFormatting sqref="D1019:D1158">
    <cfRule type="beginsWith" dxfId="114" priority="35" operator="beginsWith" text="พัสดุ">
      <formula>LEFT((D1019),LEN("พัสดุ"))=("พัสดุ")</formula>
    </cfRule>
  </conditionalFormatting>
  <conditionalFormatting sqref="A1019:A1158">
    <cfRule type="beginsWith" dxfId="113" priority="36" operator="beginsWith" text="เอกสารไม่พร้อม">
      <formula>LEFT((A1019),LEN("เอกสารไม่พร้อม"))=("เอกสารไม่พร้อม")</formula>
    </cfRule>
  </conditionalFormatting>
  <conditionalFormatting sqref="A1019:A1158 D1019:D1158">
    <cfRule type="notContainsBlanks" dxfId="112" priority="37">
      <formula>LEN(TRIM(A1019))&gt;0</formula>
    </cfRule>
  </conditionalFormatting>
  <conditionalFormatting sqref="A1019:A1158 D1019:D1158">
    <cfRule type="notContainsBlanks" dxfId="111" priority="38">
      <formula>LEN(TRIM(A1019))&gt;0</formula>
    </cfRule>
  </conditionalFormatting>
  <conditionalFormatting sqref="D1019:D1158">
    <cfRule type="beginsWith" dxfId="110" priority="39" operator="beginsWith" text="พัสดุ">
      <formula>LEFT((D1019),LEN("พัสดุ"))=("พัสดุ")</formula>
    </cfRule>
  </conditionalFormatting>
  <conditionalFormatting sqref="A1019:A1158">
    <cfRule type="beginsWith" dxfId="109" priority="40" operator="beginsWith" text="เอกสารไม่พร้อม">
      <formula>LEFT((A1019),LEN("เอกสารไม่พร้อม"))=("เอกสารไม่พร้อม")</formula>
    </cfRule>
  </conditionalFormatting>
  <conditionalFormatting sqref="A1019:A1158 D1019:D1158">
    <cfRule type="notContainsBlanks" dxfId="108" priority="41">
      <formula>LEN(TRIM(A1019))&gt;0</formula>
    </cfRule>
  </conditionalFormatting>
  <conditionalFormatting sqref="A1019:A1158 D1019:D1158">
    <cfRule type="notContainsBlanks" dxfId="107" priority="42">
      <formula>LEN(TRIM(A1019))&gt;0</formula>
    </cfRule>
  </conditionalFormatting>
  <conditionalFormatting sqref="D1019:D1158">
    <cfRule type="beginsWith" dxfId="106" priority="43" operator="beginsWith" text="พัสดุ">
      <formula>LEFT((D1019),LEN("พัสดุ"))=("พัสดุ")</formula>
    </cfRule>
  </conditionalFormatting>
  <conditionalFormatting sqref="A1019:A1158">
    <cfRule type="beginsWith" dxfId="105" priority="44" operator="beginsWith" text="เอกสารไม่พร้อม">
      <formula>LEFT((A1019),LEN("เอกสารไม่พร้อม"))=("เอกสารไม่พร้อม")</formula>
    </cfRule>
  </conditionalFormatting>
  <conditionalFormatting sqref="A1019:A1158 D1019:D1158">
    <cfRule type="notContainsBlanks" dxfId="104" priority="45">
      <formula>LEN(TRIM(A1019))&gt;0</formula>
    </cfRule>
  </conditionalFormatting>
  <conditionalFormatting sqref="D1019:D1158">
    <cfRule type="beginsWith" dxfId="103" priority="46" operator="beginsWith" text="พัสดุ">
      <formula>LEFT((D1019),LEN("พัสดุ"))=("พัสดุ")</formula>
    </cfRule>
  </conditionalFormatting>
  <conditionalFormatting sqref="A1019:A1158">
    <cfRule type="beginsWith" dxfId="102" priority="47" operator="beginsWith" text="เอกสารไม่พร้อม">
      <formula>LEFT((A1019),LEN("เอกสารไม่พร้อม"))=("เอกสารไม่พร้อม")</formula>
    </cfRule>
  </conditionalFormatting>
  <conditionalFormatting sqref="A1019:A1158 D1019:D1158">
    <cfRule type="notContainsBlanks" dxfId="101" priority="48">
      <formula>LEN(TRIM(A1019))&gt;0</formula>
    </cfRule>
  </conditionalFormatting>
  <conditionalFormatting sqref="D1019:D1158">
    <cfRule type="beginsWith" dxfId="100" priority="49" operator="beginsWith" text="พัสดุ">
      <formula>LEFT((D1019),LEN("พัสดุ"))=("พัสดุ")</formula>
    </cfRule>
  </conditionalFormatting>
  <conditionalFormatting sqref="A1019:A1158">
    <cfRule type="beginsWith" dxfId="99" priority="50" operator="beginsWith" text="เอกสารไม่พร้อม">
      <formula>LEFT((A1019),LEN("เอกสารไม่พร้อม"))=("เอกสารไม่พร้อม")</formula>
    </cfRule>
  </conditionalFormatting>
  <conditionalFormatting sqref="A1019:A1158 D1019:D1158">
    <cfRule type="notContainsBlanks" dxfId="98" priority="51">
      <formula>LEN(TRIM(A1019))&gt;0</formula>
    </cfRule>
  </conditionalFormatting>
  <conditionalFormatting sqref="D1019:D1158">
    <cfRule type="beginsWith" dxfId="97" priority="52" operator="beginsWith" text="พัสดุ">
      <formula>LEFT((D1019),LEN("พัสดุ"))=("พัสดุ")</formula>
    </cfRule>
  </conditionalFormatting>
  <conditionalFormatting sqref="A1019:A1158">
    <cfRule type="beginsWith" dxfId="96" priority="53" operator="beginsWith" text="เอกสารไม่พร้อม">
      <formula>LEFT((A1019),LEN("เอกสารไม่พร้อม"))=("เอกสารไม่พร้อม")</formula>
    </cfRule>
  </conditionalFormatting>
  <conditionalFormatting sqref="A1019:A1158 D1019:D1158">
    <cfRule type="notContainsBlanks" dxfId="95" priority="54">
      <formula>LEN(TRIM(A1019))&gt;0</formula>
    </cfRule>
  </conditionalFormatting>
  <conditionalFormatting sqref="D1019:D1158">
    <cfRule type="beginsWith" dxfId="94" priority="55" operator="beginsWith" text="พัสดุ">
      <formula>LEFT((D1019),LEN("พัสดุ"))=("พัสดุ")</formula>
    </cfRule>
  </conditionalFormatting>
  <conditionalFormatting sqref="A1019:A1158">
    <cfRule type="beginsWith" dxfId="93" priority="56" operator="beginsWith" text="เอกสารไม่พร้อม">
      <formula>LEFT((A1019),LEN("เอกสารไม่พร้อม"))=("เอกสารไม่พร้อม")</formula>
    </cfRule>
  </conditionalFormatting>
  <conditionalFormatting sqref="A1019:A1158 D1019:D1158">
    <cfRule type="notContainsBlanks" dxfId="92" priority="57">
      <formula>LEN(TRIM(A1019))&gt;0</formula>
    </cfRule>
  </conditionalFormatting>
  <conditionalFormatting sqref="D1019:D1158">
    <cfRule type="beginsWith" dxfId="91" priority="58" operator="beginsWith" text="พัสดุ">
      <formula>LEFT((D1019),LEN("พัสดุ"))=("พัสดุ")</formula>
    </cfRule>
  </conditionalFormatting>
  <conditionalFormatting sqref="A1019:A1158">
    <cfRule type="beginsWith" dxfId="90" priority="59" operator="beginsWith" text="เอกสารไม่พร้อม">
      <formula>LEFT((A1019),LEN("เอกสารไม่พร้อม"))=("เอกสารไม่พร้อม")</formula>
    </cfRule>
  </conditionalFormatting>
  <conditionalFormatting sqref="A1019:A1158 D1019:D1158">
    <cfRule type="notContainsBlanks" dxfId="89" priority="60">
      <formula>LEN(TRIM(A1019))&gt;0</formula>
    </cfRule>
  </conditionalFormatting>
  <conditionalFormatting sqref="A1019:A1158 D1019:D1158">
    <cfRule type="notContainsBlanks" dxfId="88" priority="61">
      <formula>LEN(TRIM(A1019))&gt;0</formula>
    </cfRule>
  </conditionalFormatting>
  <conditionalFormatting sqref="D1019:D1158">
    <cfRule type="beginsWith" dxfId="87" priority="62" operator="beginsWith" text="พัสดุ">
      <formula>LEFT((D1019),LEN("พัสดุ"))=("พัสดุ")</formula>
    </cfRule>
  </conditionalFormatting>
  <conditionalFormatting sqref="A1019:A1158">
    <cfRule type="beginsWith" dxfId="86" priority="63" operator="beginsWith" text="เอกสารไม่พร้อม">
      <formula>LEFT((A1019),LEN("เอกสารไม่พร้อม"))=("เอกสารไม่พร้อม")</formula>
    </cfRule>
  </conditionalFormatting>
  <conditionalFormatting sqref="A1019:A1158 D1019:D1158">
    <cfRule type="notContainsBlanks" dxfId="85" priority="64">
      <formula>LEN(TRIM(A1019))&gt;0</formula>
    </cfRule>
  </conditionalFormatting>
  <conditionalFormatting sqref="D1019:D1158">
    <cfRule type="beginsWith" dxfId="84" priority="65" operator="beginsWith" text="พัสดุ">
      <formula>LEFT((D1019),LEN("พัสดุ"))=("พัสดุ")</formula>
    </cfRule>
  </conditionalFormatting>
  <conditionalFormatting sqref="A1019:A1158">
    <cfRule type="beginsWith" dxfId="83" priority="66" operator="beginsWith" text="เอกสารไม่พร้อม">
      <formula>LEFT((A1019),LEN("เอกสารไม่พร้อม"))=("เอกสารไม่พร้อม")</formula>
    </cfRule>
  </conditionalFormatting>
  <conditionalFormatting sqref="A1019:A1158 D1019:D1158">
    <cfRule type="notContainsBlanks" dxfId="82" priority="67">
      <formula>LEN(TRIM(A1019))&gt;0</formula>
    </cfRule>
  </conditionalFormatting>
  <conditionalFormatting sqref="M1 U1:U10 N2:T10 V2:AA10 N12:Z1158 AA12:AA1147">
    <cfRule type="cellIs" dxfId="81" priority="68" operator="lessThanOrEqual">
      <formula>2558</formula>
    </cfRule>
  </conditionalFormatting>
  <conditionalFormatting sqref="D1019:D1158">
    <cfRule type="beginsWith" dxfId="80" priority="69" operator="beginsWith" text="พัสดุ">
      <formula>LEFT((D1019),LEN("พัสดุ"))=("พัสดุ")</formula>
    </cfRule>
  </conditionalFormatting>
  <conditionalFormatting sqref="A1019:A1158">
    <cfRule type="beginsWith" dxfId="79" priority="70" operator="beginsWith" text="เอกสารไม่พร้อม">
      <formula>LEFT((A1019),LEN("เอกสารไม่พร้อม"))=("เอกสารไม่พร้อม")</formula>
    </cfRule>
  </conditionalFormatting>
  <conditionalFormatting sqref="A1019:A1158 D1019:D1158">
    <cfRule type="notContainsBlanks" dxfId="78" priority="71">
      <formula>LEN(TRIM(A1019))&gt;0</formula>
    </cfRule>
  </conditionalFormatting>
  <conditionalFormatting sqref="D1019:D1158">
    <cfRule type="beginsWith" dxfId="77" priority="72" operator="beginsWith" text="พัสดุ">
      <formula>LEFT((D1019),LEN("พัสดุ"))=("พัสดุ")</formula>
    </cfRule>
  </conditionalFormatting>
  <conditionalFormatting sqref="A1019:A1158">
    <cfRule type="beginsWith" dxfId="76" priority="73" operator="beginsWith" text="เอกสารไม่พร้อม">
      <formula>LEFT((A1019),LEN("เอกสารไม่พร้อม"))=("เอกสารไม่พร้อม")</formula>
    </cfRule>
  </conditionalFormatting>
  <conditionalFormatting sqref="A1019:A1158 D1019:D1158">
    <cfRule type="notContainsBlanks" dxfId="75" priority="74">
      <formula>LEN(TRIM(A1019))&gt;0</formula>
    </cfRule>
  </conditionalFormatting>
  <conditionalFormatting sqref="D1019:D1158">
    <cfRule type="beginsWith" dxfId="74" priority="75" operator="beginsWith" text="พัสดุ">
      <formula>LEFT((D1019),LEN("พัสดุ"))=("พัสดุ")</formula>
    </cfRule>
  </conditionalFormatting>
  <conditionalFormatting sqref="A1019:A1158">
    <cfRule type="beginsWith" dxfId="73" priority="76" operator="beginsWith" text="เอกสารไม่พร้อม">
      <formula>LEFT((A1019),LEN("เอกสารไม่พร้อม"))=("เอกสารไม่พร้อม")</formula>
    </cfRule>
  </conditionalFormatting>
  <conditionalFormatting sqref="A1019:A1158 D1019:D1158">
    <cfRule type="notContainsBlanks" dxfId="72" priority="77">
      <formula>LEN(TRIM(A1019))&gt;0</formula>
    </cfRule>
  </conditionalFormatting>
  <conditionalFormatting sqref="D1019:D1158">
    <cfRule type="beginsWith" dxfId="71" priority="78" operator="beginsWith" text="พัสดุ">
      <formula>LEFT((D1019),LEN("พัสดุ"))=("พัสดุ")</formula>
    </cfRule>
  </conditionalFormatting>
  <conditionalFormatting sqref="A1019:A1158">
    <cfRule type="beginsWith" dxfId="70" priority="79" operator="beginsWith" text="เอกสารไม่พร้อม">
      <formula>LEFT((A1019),LEN("เอกสารไม่พร้อม"))=("เอกสารไม่พร้อม")</formula>
    </cfRule>
  </conditionalFormatting>
  <conditionalFormatting sqref="A1019:A1158 D1019:D1158">
    <cfRule type="notContainsBlanks" dxfId="69" priority="80">
      <formula>LEN(TRIM(A1019))&gt;0</formula>
    </cfRule>
  </conditionalFormatting>
  <conditionalFormatting sqref="D1019:D1158">
    <cfRule type="beginsWith" dxfId="68" priority="81" operator="beginsWith" text="พัสดุ">
      <formula>LEFT((D1019),LEN("พัสดุ"))=("พัสดุ")</formula>
    </cfRule>
  </conditionalFormatting>
  <conditionalFormatting sqref="A1019:A1158">
    <cfRule type="beginsWith" dxfId="67" priority="82" operator="beginsWith" text="เอกสารไม่พร้อม">
      <formula>LEFT((A1019),LEN("เอกสารไม่พร้อม"))=("เอกสารไม่พร้อม")</formula>
    </cfRule>
  </conditionalFormatting>
  <conditionalFormatting sqref="A1019:A1158 D1019:D1158">
    <cfRule type="notContainsBlanks" dxfId="66" priority="83">
      <formula>LEN(TRIM(A1019))&gt;0</formula>
    </cfRule>
  </conditionalFormatting>
  <conditionalFormatting sqref="D1019:D1158">
    <cfRule type="beginsWith" dxfId="65" priority="84" operator="beginsWith" text="พัสดุ">
      <formula>LEFT((D1019),LEN("พัสดุ"))=("พัสดุ")</formula>
    </cfRule>
  </conditionalFormatting>
  <conditionalFormatting sqref="A1019:A1158">
    <cfRule type="beginsWith" dxfId="64" priority="85" operator="beginsWith" text="เอกสารไม่พร้อม">
      <formula>LEFT((A1019),LEN("เอกสารไม่พร้อม"))=("เอกสารไม่พร้อม")</formula>
    </cfRule>
  </conditionalFormatting>
  <conditionalFormatting sqref="A1019:A1158 D1019:D1158">
    <cfRule type="notContainsBlanks" dxfId="63" priority="86">
      <formula>LEN(TRIM(A1019))&gt;0</formula>
    </cfRule>
  </conditionalFormatting>
  <conditionalFormatting sqref="D1019:D1158">
    <cfRule type="beginsWith" dxfId="62" priority="87" operator="beginsWith" text="พัสดุ">
      <formula>LEFT((D1019),LEN("พัสดุ"))=("พัสดุ")</formula>
    </cfRule>
  </conditionalFormatting>
  <conditionalFormatting sqref="A1019:A1158">
    <cfRule type="beginsWith" dxfId="61" priority="88" operator="beginsWith" text="เอกสารไม่พร้อม">
      <formula>LEFT((A1019),LEN("เอกสารไม่พร้อม"))=("เอกสารไม่พร้อม")</formula>
    </cfRule>
  </conditionalFormatting>
  <conditionalFormatting sqref="A1019:A1158 D1019:D1158">
    <cfRule type="notContainsBlanks" dxfId="60" priority="89">
      <formula>LEN(TRIM(A1019))&gt;0</formula>
    </cfRule>
  </conditionalFormatting>
  <conditionalFormatting sqref="D1019:D1158">
    <cfRule type="beginsWith" dxfId="59" priority="90" operator="beginsWith" text="พัสดุ">
      <formula>LEFT((D1019),LEN("พัสดุ"))=("พัสดุ")</formula>
    </cfRule>
  </conditionalFormatting>
  <conditionalFormatting sqref="A1019:A1158">
    <cfRule type="beginsWith" dxfId="58" priority="91" operator="beginsWith" text="เอกสารไม่พร้อม">
      <formula>LEFT((A1019),LEN("เอกสารไม่พร้อม"))=("เอกสารไม่พร้อม")</formula>
    </cfRule>
  </conditionalFormatting>
  <conditionalFormatting sqref="A1019:A1158 D1019:D1158">
    <cfRule type="notContainsBlanks" dxfId="57" priority="92">
      <formula>LEN(TRIM(A1019))&gt;0</formula>
    </cfRule>
  </conditionalFormatting>
  <conditionalFormatting sqref="D1019:D1158">
    <cfRule type="beginsWith" dxfId="56" priority="93" operator="beginsWith" text="พัสดุ">
      <formula>LEFT((D1019),LEN("พัสดุ"))=("พัสดุ")</formula>
    </cfRule>
  </conditionalFormatting>
  <conditionalFormatting sqref="A1019:A1158">
    <cfRule type="beginsWith" dxfId="55" priority="94" operator="beginsWith" text="เอกสารไม่พร้อม">
      <formula>LEFT((A1019),LEN("เอกสารไม่พร้อม"))=("เอกสารไม่พร้อม")</formula>
    </cfRule>
  </conditionalFormatting>
  <conditionalFormatting sqref="A1019:A1158 D1019:D1158">
    <cfRule type="notContainsBlanks" dxfId="54" priority="95">
      <formula>LEN(TRIM(A1019))&gt;0</formula>
    </cfRule>
  </conditionalFormatting>
  <conditionalFormatting sqref="D1019:D1158">
    <cfRule type="beginsWith" dxfId="53" priority="96" operator="beginsWith" text="พัสดุ">
      <formula>LEFT((D1019),LEN("พัสดุ"))=("พัสดุ")</formula>
    </cfRule>
  </conditionalFormatting>
  <conditionalFormatting sqref="A1019:A1158">
    <cfRule type="beginsWith" dxfId="52" priority="97" operator="beginsWith" text="เอกสารไม่พร้อม">
      <formula>LEFT((A1019),LEN("เอกสารไม่พร้อม"))=("เอกสารไม่พร้อม")</formula>
    </cfRule>
  </conditionalFormatting>
  <conditionalFormatting sqref="A1019:A1158 D1019:D1158">
    <cfRule type="notContainsBlanks" dxfId="51" priority="98">
      <formula>LEN(TRIM(A1019))&gt;0</formula>
    </cfRule>
  </conditionalFormatting>
  <conditionalFormatting sqref="A1019:A1158 D1019:D1158">
    <cfRule type="notContainsBlanks" dxfId="50" priority="99">
      <formula>LEN(TRIM(A1019))&gt;0</formula>
    </cfRule>
  </conditionalFormatting>
  <conditionalFormatting sqref="A1019:A1158 D1019:D1158">
    <cfRule type="notContainsBlanks" dxfId="49" priority="100">
      <formula>LEN(TRIM(A1019))&gt;0</formula>
    </cfRule>
  </conditionalFormatting>
  <conditionalFormatting sqref="A1019:A1158 D1019:D1158">
    <cfRule type="notContainsBlanks" dxfId="48" priority="101">
      <formula>LEN(TRIM(A1019))&gt;0</formula>
    </cfRule>
  </conditionalFormatting>
  <conditionalFormatting sqref="A1019:A1158 D1019:D1158">
    <cfRule type="notContainsBlanks" dxfId="47" priority="102">
      <formula>LEN(TRIM(A1019))&gt;0</formula>
    </cfRule>
  </conditionalFormatting>
  <conditionalFormatting sqref="A1019:A1158 D1019:D1158">
    <cfRule type="notContainsBlanks" dxfId="46" priority="103">
      <formula>LEN(TRIM(A1019))&gt;0</formula>
    </cfRule>
  </conditionalFormatting>
  <conditionalFormatting sqref="A1019:A1158 D1019:D1158">
    <cfRule type="notContainsBlanks" dxfId="45" priority="104">
      <formula>LEN(TRIM(A1019))&gt;0</formula>
    </cfRule>
  </conditionalFormatting>
  <conditionalFormatting sqref="A1019:A1158 D1019:D1158">
    <cfRule type="notContainsBlanks" dxfId="44" priority="105">
      <formula>LEN(TRIM(A1019))&gt;0</formula>
    </cfRule>
  </conditionalFormatting>
  <conditionalFormatting sqref="A1019:A1158 D1019:D1158">
    <cfRule type="notContainsBlanks" dxfId="43" priority="106">
      <formula>LEN(TRIM(A1019))&gt;0</formula>
    </cfRule>
  </conditionalFormatting>
  <conditionalFormatting sqref="A1019:A1158 D1019:D1158">
    <cfRule type="notContainsBlanks" dxfId="42" priority="107">
      <formula>LEN(TRIM(A1019))&gt;0</formula>
    </cfRule>
  </conditionalFormatting>
  <conditionalFormatting sqref="A1019:A1158 D1019:D1158">
    <cfRule type="notContainsBlanks" dxfId="41" priority="108">
      <formula>LEN(TRIM(A1019))&gt;0</formula>
    </cfRule>
  </conditionalFormatting>
  <conditionalFormatting sqref="A1019:A1158 D1019:D1158">
    <cfRule type="notContainsBlanks" dxfId="40" priority="109">
      <formula>LEN(TRIM(A1019))&gt;0</formula>
    </cfRule>
  </conditionalFormatting>
  <conditionalFormatting sqref="A1019:A1158 D1019:D1158">
    <cfRule type="notContainsBlanks" dxfId="39" priority="110">
      <formula>LEN(TRIM(A1019))&gt;0</formula>
    </cfRule>
  </conditionalFormatting>
  <conditionalFormatting sqref="A1019:A1158 D1019:D1158">
    <cfRule type="notContainsBlanks" dxfId="38" priority="111">
      <formula>LEN(TRIM(A1019))&gt;0</formula>
    </cfRule>
  </conditionalFormatting>
  <conditionalFormatting sqref="A1019:A1158 D1019:D1158">
    <cfRule type="notContainsBlanks" dxfId="37" priority="112">
      <formula>LEN(TRIM(A1019))&gt;0</formula>
    </cfRule>
  </conditionalFormatting>
  <conditionalFormatting sqref="A1019:A1158 D1019:D1158">
    <cfRule type="notContainsBlanks" dxfId="36" priority="113">
      <formula>LEN(TRIM(A1019))&gt;0</formula>
    </cfRule>
  </conditionalFormatting>
  <conditionalFormatting sqref="A1019:A1158 D1019:D1158">
    <cfRule type="notContainsBlanks" dxfId="35" priority="114">
      <formula>LEN(TRIM(A1019))&gt;0</formula>
    </cfRule>
  </conditionalFormatting>
  <conditionalFormatting sqref="A1019:A1158 D1019:D1158">
    <cfRule type="notContainsBlanks" dxfId="34" priority="115">
      <formula>LEN(TRIM(A1019))&gt;0</formula>
    </cfRule>
  </conditionalFormatting>
  <conditionalFormatting sqref="A1019:A1158 D1019:D1158">
    <cfRule type="notContainsBlanks" dxfId="33" priority="116">
      <formula>LEN(TRIM(A1019))&gt;0</formula>
    </cfRule>
  </conditionalFormatting>
  <conditionalFormatting sqref="A1019:A1158 D1019:D1158">
    <cfRule type="notContainsBlanks" dxfId="32" priority="117">
      <formula>LEN(TRIM(A1019))&gt;0</formula>
    </cfRule>
  </conditionalFormatting>
  <conditionalFormatting sqref="A1019:A1158 D1019:D1158">
    <cfRule type="notContainsBlanks" dxfId="31" priority="118">
      <formula>LEN(TRIM(A1019))&gt;0</formula>
    </cfRule>
  </conditionalFormatting>
  <conditionalFormatting sqref="A1019:A1158 D1019:D1158">
    <cfRule type="notContainsBlanks" dxfId="30" priority="119">
      <formula>LEN(TRIM(A1019))&gt;0</formula>
    </cfRule>
  </conditionalFormatting>
  <conditionalFormatting sqref="A1019:A1158 D1019:D1158">
    <cfRule type="notContainsBlanks" dxfId="29" priority="120">
      <formula>LEN(TRIM(A1019))&gt;0</formula>
    </cfRule>
  </conditionalFormatting>
  <conditionalFormatting sqref="A1019:A1158 D1019:D1158">
    <cfRule type="notContainsBlanks" dxfId="28" priority="121">
      <formula>LEN(TRIM(A1019))&gt;0</formula>
    </cfRule>
  </conditionalFormatting>
  <conditionalFormatting sqref="A1019:A1158 D1019:D1158">
    <cfRule type="notContainsBlanks" dxfId="27" priority="122">
      <formula>LEN(TRIM(A1019))&gt;0</formula>
    </cfRule>
  </conditionalFormatting>
  <conditionalFormatting sqref="A1019:A1158 D1019:D1158">
    <cfRule type="notContainsBlanks" dxfId="26" priority="123">
      <formula>LEN(TRIM(A1019))&gt;0</formula>
    </cfRule>
  </conditionalFormatting>
  <conditionalFormatting sqref="A1019:A1158 D1019:D1158">
    <cfRule type="notContainsBlanks" dxfId="25" priority="124">
      <formula>LEN(TRIM(A1019))&gt;0</formula>
    </cfRule>
  </conditionalFormatting>
  <conditionalFormatting sqref="A1019:A1158 D1019:D1158">
    <cfRule type="notContainsBlanks" dxfId="24" priority="125">
      <formula>LEN(TRIM(A1019))&gt;0</formula>
    </cfRule>
  </conditionalFormatting>
  <conditionalFormatting sqref="A1019:A1158 D1019:D1158">
    <cfRule type="notContainsBlanks" dxfId="23" priority="126">
      <formula>LEN(TRIM(A1019))&gt;0</formula>
    </cfRule>
  </conditionalFormatting>
  <conditionalFormatting sqref="A1019:A1158 D1019:D1158">
    <cfRule type="notContainsBlanks" dxfId="22" priority="127">
      <formula>LEN(TRIM(A1019))&gt;0</formula>
    </cfRule>
  </conditionalFormatting>
  <conditionalFormatting sqref="A1019:A1158 D1019:D1158">
    <cfRule type="notContainsBlanks" dxfId="21" priority="128">
      <formula>LEN(TRIM(A1019))&gt;0</formula>
    </cfRule>
  </conditionalFormatting>
  <conditionalFormatting sqref="O1019:O1158">
    <cfRule type="cellIs" dxfId="20" priority="129" operator="equal">
      <formula>4</formula>
    </cfRule>
  </conditionalFormatting>
  <conditionalFormatting sqref="O1019:O1158">
    <cfRule type="cellIs" dxfId="19" priority="130" operator="equal">
      <formula>5</formula>
    </cfRule>
  </conditionalFormatting>
  <conditionalFormatting sqref="D1018">
    <cfRule type="beginsWith" dxfId="18" priority="131" operator="beginsWith" text="พัสดุ">
      <formula>LEFT((D1018),LEN("พัสดุ"))=("พัสดุ")</formula>
    </cfRule>
  </conditionalFormatting>
  <conditionalFormatting sqref="A1018">
    <cfRule type="beginsWith" dxfId="17" priority="132" operator="beginsWith" text="เอกสารไม่พร้อม">
      <formula>LEFT((A1018),LEN("เอกสารไม่พร้อม"))=("เอกสารไม่พร้อม")</formula>
    </cfRule>
  </conditionalFormatting>
  <conditionalFormatting sqref="A1018 D1018">
    <cfRule type="notContainsBlanks" dxfId="16" priority="133">
      <formula>LEN(TRIM(A1018))&gt;0</formula>
    </cfRule>
  </conditionalFormatting>
  <conditionalFormatting sqref="O1018">
    <cfRule type="cellIs" dxfId="15" priority="134" operator="equal">
      <formula>4</formula>
    </cfRule>
  </conditionalFormatting>
  <conditionalFormatting sqref="O1018">
    <cfRule type="cellIs" dxfId="14" priority="135" operator="equal">
      <formula>5</formula>
    </cfRule>
  </conditionalFormatting>
  <conditionalFormatting sqref="M1 U1:U10 N2:T10 V2:AA10 N12:AA1158">
    <cfRule type="cellIs" dxfId="13" priority="136" operator="lessThanOrEqual">
      <formula>2558</formula>
    </cfRule>
  </conditionalFormatting>
  <conditionalFormatting sqref="A1:A1048576">
    <cfRule type="notContainsBlanks" dxfId="12" priority="137">
      <formula>LEN(TRIM(A1))&gt;0</formula>
    </cfRule>
  </conditionalFormatting>
  <dataValidations count="10">
    <dataValidation type="list" allowBlank="1" sqref="S1108:S1109 S1112 S1117:S1121 S1128:S1131 S1133" xr:uid="{00000000-0002-0000-1300-000000000000}">
      <formula1>"ยังไม่่ส่งไฟล์ ที่ใช้ในการประชุม,พร้อม"</formula1>
    </dataValidation>
    <dataValidation type="list" allowBlank="1" sqref="C981:C985 C989 C998:C1002 C1014:C1024 C1027:C1030 C1032 C1037:C1041 C1048:C1057 C1061:C1067 C1069:C1075 C1079:C1158" xr:uid="{00000000-0002-0000-1300-000001000000}">
      <formula1>"กวก.ฯ,กอค.ฯ,กสน.ฯ,กรง.ฯ,กดก.ฯ,กปภ.ฯ,กฟฟ.ฯ,ชย.ทอ."</formula1>
    </dataValidation>
    <dataValidation type="list" allowBlank="1" sqref="N1108:N1109 N1112 N1117:N1121 N1128:N1131 N1133" xr:uid="{00000000-0002-0000-1300-000002000000}">
      <formula1>"ไม่ผ่านการประชุมขากกองฯ,พร้อม"</formula1>
    </dataValidation>
    <dataValidation type="list" allowBlank="1" sqref="A1070 A1080" xr:uid="{00000000-0002-0000-1300-000003000000}">
      <formula1>"รอการขอยกเลิกคุณลักษณะ,รอเข้าพิจารณา คุณลักษณะฯ,อยู่ระหว่างการพิจารณา คุณลักษณะฯ,ผ่านการพิจารณา รอ จก.ชย.ทอ.ลงนาม,รอเข้าพิจารณา คำแนะนำฯ,อยู่ระหว่างการพิจารณา คำแนะนำฯ,ผ่านการพิจารณาคำแนะนำ รอ จก.ชย.ทอ.ลงนาม.,เอกสารไม่พร้อมเข้าประชุม"</formula1>
    </dataValidation>
    <dataValidation type="list" allowBlank="1" sqref="R1108:R1109 R1112 R1117:R1121 R1128:R1131 R1133" xr:uid="{00000000-0002-0000-1300-000004000000}">
      <formula1>"ยังไม่ถ่ายสำเนาให้กรรมการ 12 ชุด,พร้อม"</formula1>
    </dataValidation>
    <dataValidation type="list" allowBlank="1" sqref="O1108:O1109 O1112 O1117:O1121 O1128:O1131 O1133" xr:uid="{00000000-0002-0000-1300-000005000000}">
      <formula1>"เอกสารคู่เทียบไม่พร้อม,พร้อม"</formula1>
    </dataValidation>
    <dataValidation type="list" allowBlank="1" sqref="A981:A985 A998:A1002 A1014:A1024 A1027:A1030 A1032 A1037:A1041 A1048:A1057 A1061:A1067 A1071 A1075 A1079 A1081:A1158" xr:uid="{00000000-0002-0000-1300-000006000000}">
      <formula1>"รอการขอยกเลิกคุณลักษณะ,รอเข้าพิจารณา คุณลักษณะฯ,อยู่ระหว่างการพิจารณา คุณลักษณะฯ,ผ่านการพิจารณา รอ จก.ชย.ทอ.ลงนาม,รอเข้าพิจารณา คำแนะนำฯ,อยู่ระหว่างการพิจารณา คำแนะนำฯ,ผ่านการพิจารณาคำแนะนำ รอ จก.ชย.ทอ.ลงนาม"</formula1>
    </dataValidation>
    <dataValidation type="list" allowBlank="1" sqref="P1108:P1109 P1112 P1117:P1121 P1128:P1131 P1133" xr:uid="{00000000-0002-0000-1300-000007000000}">
      <formula1>"ตารางเปรียบเทียบคุณสมบัติ,พร้อม"</formula1>
    </dataValidation>
    <dataValidation type="list" allowBlank="1" sqref="A1069" xr:uid="{00000000-0002-0000-1300-000008000000}">
      <formula1>"รอเข้าพิจารณา คุณลักษณะฯ,รอเข้าพิจารณา คำแนะนำฯ,อยู่ระหว่างการพิจารณา คุณลักษณะฯ,อยู่ระหว่างการพิจารณา คำแนะนำฯ,รอการขอยกเลิกคุณลักษณะ"</formula1>
    </dataValidation>
    <dataValidation type="list" allowBlank="1" sqref="Q1108:Q1109 Q1112 Q1117:Q1121 Q1128:Q1131 Q1133" xr:uid="{00000000-0002-0000-1300-000009000000}">
      <formula1>"ยังไม่ส่งราคาของแต่ละยี่ห้อ,พร้อม"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B100"/>
  <sheetViews>
    <sheetView workbookViewId="0"/>
  </sheetViews>
  <sheetFormatPr defaultColWidth="14.42578125" defaultRowHeight="15.75" customHeight="1"/>
  <cols>
    <col min="2" max="2" width="84.28515625" customWidth="1"/>
  </cols>
  <sheetData>
    <row r="1" spans="1:2" ht="15.75" customHeight="1">
      <c r="A1" s="248" t="s">
        <v>2098</v>
      </c>
      <c r="B1" s="249" t="s">
        <v>2101</v>
      </c>
    </row>
    <row r="2" spans="1:2" ht="15.75" customHeight="1">
      <c r="A2" s="250" t="s">
        <v>1273</v>
      </c>
      <c r="B2" s="213" t="s">
        <v>2104</v>
      </c>
    </row>
    <row r="3" spans="1:2" ht="15.75" customHeight="1">
      <c r="A3" s="250" t="s">
        <v>2105</v>
      </c>
      <c r="B3" s="213" t="s">
        <v>2106</v>
      </c>
    </row>
    <row r="4" spans="1:2" ht="15.75" customHeight="1">
      <c r="A4" s="250" t="s">
        <v>2107</v>
      </c>
      <c r="B4" s="213" t="s">
        <v>2108</v>
      </c>
    </row>
    <row r="5" spans="1:2" ht="15.75" customHeight="1">
      <c r="A5" s="250" t="s">
        <v>2111</v>
      </c>
      <c r="B5" s="213" t="s">
        <v>2112</v>
      </c>
    </row>
    <row r="6" spans="1:2" ht="15.75" customHeight="1">
      <c r="A6" s="250" t="s">
        <v>2113</v>
      </c>
      <c r="B6" s="213" t="s">
        <v>2115</v>
      </c>
    </row>
    <row r="7" spans="1:2" ht="15.75" customHeight="1">
      <c r="A7" s="250" t="s">
        <v>1079</v>
      </c>
      <c r="B7" s="213" t="s">
        <v>2116</v>
      </c>
    </row>
    <row r="8" spans="1:2" ht="15.75" customHeight="1">
      <c r="A8" s="250" t="s">
        <v>2118</v>
      </c>
      <c r="B8" s="213" t="s">
        <v>2119</v>
      </c>
    </row>
    <row r="9" spans="1:2" ht="15.75" customHeight="1">
      <c r="A9" s="250" t="s">
        <v>2120</v>
      </c>
      <c r="B9" s="213" t="s">
        <v>2121</v>
      </c>
    </row>
    <row r="10" spans="1:2" ht="15.75" customHeight="1">
      <c r="A10" s="250" t="s">
        <v>2122</v>
      </c>
      <c r="B10" s="213" t="s">
        <v>2123</v>
      </c>
    </row>
    <row r="11" spans="1:2" ht="15.75" customHeight="1">
      <c r="A11" s="250" t="s">
        <v>2124</v>
      </c>
      <c r="B11" s="213" t="s">
        <v>2125</v>
      </c>
    </row>
    <row r="12" spans="1:2" ht="15.75" customHeight="1">
      <c r="A12" s="250" t="s">
        <v>2126</v>
      </c>
      <c r="B12" s="213" t="s">
        <v>2127</v>
      </c>
    </row>
    <row r="13" spans="1:2" ht="15.75" customHeight="1">
      <c r="A13" s="250" t="s">
        <v>2128</v>
      </c>
      <c r="B13" s="213" t="s">
        <v>2129</v>
      </c>
    </row>
    <row r="14" spans="1:2" ht="15.75" customHeight="1">
      <c r="A14" s="250" t="s">
        <v>2130</v>
      </c>
      <c r="B14" s="213" t="s">
        <v>2131</v>
      </c>
    </row>
    <row r="15" spans="1:2" ht="15.75" customHeight="1">
      <c r="A15" s="250" t="s">
        <v>2134</v>
      </c>
      <c r="B15" s="213" t="s">
        <v>2135</v>
      </c>
    </row>
    <row r="16" spans="1:2" ht="15.75" customHeight="1">
      <c r="A16" s="250" t="s">
        <v>2136</v>
      </c>
      <c r="B16" s="213" t="s">
        <v>2137</v>
      </c>
    </row>
    <row r="17" spans="1:2" ht="15.75" customHeight="1">
      <c r="A17" s="250" t="s">
        <v>2138</v>
      </c>
      <c r="B17" s="213" t="s">
        <v>2139</v>
      </c>
    </row>
    <row r="18" spans="1:2" ht="15.75" customHeight="1">
      <c r="A18" s="250" t="s">
        <v>2140</v>
      </c>
      <c r="B18" s="213" t="s">
        <v>2141</v>
      </c>
    </row>
    <row r="19" spans="1:2" ht="15.75" customHeight="1">
      <c r="A19" s="250" t="s">
        <v>2143</v>
      </c>
      <c r="B19" s="213" t="s">
        <v>2144</v>
      </c>
    </row>
    <row r="20" spans="1:2" ht="15.75" customHeight="1">
      <c r="A20" s="250" t="s">
        <v>2145</v>
      </c>
      <c r="B20" s="213" t="s">
        <v>2147</v>
      </c>
    </row>
    <row r="21" spans="1:2" ht="15.75" customHeight="1">
      <c r="A21" s="250" t="s">
        <v>2148</v>
      </c>
      <c r="B21" s="213" t="s">
        <v>2149</v>
      </c>
    </row>
    <row r="22" spans="1:2" ht="15.75" customHeight="1">
      <c r="A22" s="250" t="s">
        <v>2150</v>
      </c>
      <c r="B22" s="213" t="s">
        <v>2151</v>
      </c>
    </row>
    <row r="23" spans="1:2" ht="15.75" customHeight="1">
      <c r="A23" s="250" t="s">
        <v>2152</v>
      </c>
      <c r="B23" s="213" t="s">
        <v>2153</v>
      </c>
    </row>
    <row r="24" spans="1:2" ht="15.75" customHeight="1">
      <c r="A24" s="250" t="s">
        <v>2154</v>
      </c>
      <c r="B24" s="213" t="s">
        <v>2155</v>
      </c>
    </row>
    <row r="25" spans="1:2" ht="15.75" customHeight="1">
      <c r="A25" s="250" t="s">
        <v>2156</v>
      </c>
      <c r="B25" s="213" t="s">
        <v>2157</v>
      </c>
    </row>
    <row r="26" spans="1:2" ht="15.75" customHeight="1">
      <c r="A26" s="250" t="s">
        <v>2158</v>
      </c>
      <c r="B26" s="213" t="s">
        <v>2159</v>
      </c>
    </row>
    <row r="27" spans="1:2" ht="15.75" customHeight="1">
      <c r="A27" s="250" t="s">
        <v>2160</v>
      </c>
      <c r="B27" s="213" t="s">
        <v>2161</v>
      </c>
    </row>
    <row r="28" spans="1:2" ht="15.75" customHeight="1">
      <c r="A28" s="250" t="s">
        <v>2162</v>
      </c>
      <c r="B28" s="213" t="s">
        <v>2163</v>
      </c>
    </row>
    <row r="29" spans="1:2" ht="15.75" customHeight="1">
      <c r="A29" s="250" t="s">
        <v>2164</v>
      </c>
      <c r="B29" s="213" t="s">
        <v>2165</v>
      </c>
    </row>
    <row r="30" spans="1:2" ht="12.75">
      <c r="A30" s="250" t="s">
        <v>2166</v>
      </c>
      <c r="B30" s="213" t="s">
        <v>2168</v>
      </c>
    </row>
    <row r="31" spans="1:2" ht="12.75">
      <c r="A31" s="250" t="s">
        <v>2169</v>
      </c>
      <c r="B31" s="213" t="s">
        <v>2171</v>
      </c>
    </row>
    <row r="32" spans="1:2" ht="12.75">
      <c r="A32" s="250" t="s">
        <v>2172</v>
      </c>
      <c r="B32" s="213" t="s">
        <v>2173</v>
      </c>
    </row>
    <row r="33" spans="1:2" ht="12.75">
      <c r="A33" s="250" t="s">
        <v>2174</v>
      </c>
      <c r="B33" s="213" t="s">
        <v>2175</v>
      </c>
    </row>
    <row r="34" spans="1:2" ht="12.75">
      <c r="A34" s="250" t="s">
        <v>2176</v>
      </c>
      <c r="B34" s="213" t="s">
        <v>2177</v>
      </c>
    </row>
    <row r="35" spans="1:2" ht="12.75">
      <c r="A35" s="250" t="s">
        <v>2178</v>
      </c>
      <c r="B35" s="213" t="s">
        <v>2179</v>
      </c>
    </row>
    <row r="36" spans="1:2" ht="12.75">
      <c r="A36" s="250" t="s">
        <v>2180</v>
      </c>
      <c r="B36" s="213" t="s">
        <v>2181</v>
      </c>
    </row>
    <row r="37" spans="1:2" ht="12.75">
      <c r="A37" s="250" t="s">
        <v>2182</v>
      </c>
      <c r="B37" s="213" t="s">
        <v>2183</v>
      </c>
    </row>
    <row r="38" spans="1:2" ht="12.75">
      <c r="A38" s="250" t="s">
        <v>2184</v>
      </c>
      <c r="B38" s="213" t="s">
        <v>2185</v>
      </c>
    </row>
    <row r="39" spans="1:2" ht="12.75">
      <c r="A39" s="250" t="s">
        <v>2186</v>
      </c>
      <c r="B39" s="213" t="s">
        <v>2187</v>
      </c>
    </row>
    <row r="40" spans="1:2" ht="12.75">
      <c r="A40" s="250" t="s">
        <v>2188</v>
      </c>
      <c r="B40" s="213" t="s">
        <v>2189</v>
      </c>
    </row>
    <row r="41" spans="1:2" ht="12.75">
      <c r="A41" s="250" t="s">
        <v>2191</v>
      </c>
      <c r="B41" s="213" t="s">
        <v>2192</v>
      </c>
    </row>
    <row r="42" spans="1:2" ht="12.75">
      <c r="A42" s="250" t="s">
        <v>2193</v>
      </c>
      <c r="B42" s="213" t="s">
        <v>2195</v>
      </c>
    </row>
    <row r="43" spans="1:2" ht="12.75">
      <c r="A43" s="250" t="s">
        <v>2196</v>
      </c>
      <c r="B43" s="213" t="s">
        <v>2197</v>
      </c>
    </row>
    <row r="44" spans="1:2" ht="12.75">
      <c r="A44" s="250" t="s">
        <v>2198</v>
      </c>
      <c r="B44" s="213" t="s">
        <v>2199</v>
      </c>
    </row>
    <row r="45" spans="1:2" ht="12.75">
      <c r="A45" s="250" t="s">
        <v>2200</v>
      </c>
      <c r="B45" s="213" t="s">
        <v>2201</v>
      </c>
    </row>
    <row r="46" spans="1:2" ht="12.75">
      <c r="A46" s="250" t="s">
        <v>2202</v>
      </c>
      <c r="B46" s="213" t="s">
        <v>2203</v>
      </c>
    </row>
    <row r="47" spans="1:2" ht="12.75">
      <c r="A47" s="250" t="s">
        <v>2204</v>
      </c>
      <c r="B47" s="213" t="s">
        <v>2205</v>
      </c>
    </row>
    <row r="48" spans="1:2" ht="12.75">
      <c r="A48" s="250" t="s">
        <v>2206</v>
      </c>
      <c r="B48" s="213" t="s">
        <v>2207</v>
      </c>
    </row>
    <row r="49" spans="1:2" ht="12.75">
      <c r="A49" s="250" t="s">
        <v>2208</v>
      </c>
      <c r="B49" s="213" t="s">
        <v>2209</v>
      </c>
    </row>
    <row r="50" spans="1:2" ht="12.75">
      <c r="A50" s="250" t="s">
        <v>2210</v>
      </c>
      <c r="B50" s="213" t="s">
        <v>2211</v>
      </c>
    </row>
    <row r="51" spans="1:2" ht="12.75">
      <c r="A51" s="250" t="s">
        <v>2212</v>
      </c>
      <c r="B51" s="213" t="s">
        <v>2213</v>
      </c>
    </row>
    <row r="52" spans="1:2" ht="12.75">
      <c r="A52" s="250" t="s">
        <v>2214</v>
      </c>
      <c r="B52" s="213" t="s">
        <v>2215</v>
      </c>
    </row>
    <row r="53" spans="1:2" ht="12.75">
      <c r="A53" s="250" t="s">
        <v>2216</v>
      </c>
      <c r="B53" s="213" t="s">
        <v>2217</v>
      </c>
    </row>
    <row r="54" spans="1:2" ht="12.75">
      <c r="A54" s="250" t="s">
        <v>2218</v>
      </c>
      <c r="B54" s="213" t="s">
        <v>2219</v>
      </c>
    </row>
    <row r="55" spans="1:2" ht="12.75">
      <c r="A55" s="250" t="s">
        <v>2220</v>
      </c>
      <c r="B55" s="213" t="s">
        <v>2222</v>
      </c>
    </row>
    <row r="56" spans="1:2" ht="12.75">
      <c r="A56" s="250" t="s">
        <v>2223</v>
      </c>
      <c r="B56" s="213" t="s">
        <v>2224</v>
      </c>
    </row>
    <row r="57" spans="1:2" ht="12.75">
      <c r="A57" s="250" t="s">
        <v>2225</v>
      </c>
      <c r="B57" s="213" t="s">
        <v>2227</v>
      </c>
    </row>
    <row r="58" spans="1:2" ht="12.75">
      <c r="A58" s="250" t="s">
        <v>2228</v>
      </c>
      <c r="B58" s="251" t="s">
        <v>2229</v>
      </c>
    </row>
    <row r="59" spans="1:2" ht="12.75">
      <c r="A59" s="250" t="s">
        <v>2231</v>
      </c>
      <c r="B59" s="251" t="s">
        <v>2233</v>
      </c>
    </row>
    <row r="60" spans="1:2" ht="12.75">
      <c r="A60" s="250" t="s">
        <v>2234</v>
      </c>
      <c r="B60" s="213" t="s">
        <v>2235</v>
      </c>
    </row>
    <row r="61" spans="1:2" ht="12.75">
      <c r="A61" s="250" t="s">
        <v>2236</v>
      </c>
      <c r="B61" s="213" t="s">
        <v>2237</v>
      </c>
    </row>
    <row r="62" spans="1:2" ht="12.75">
      <c r="A62" s="250" t="s">
        <v>2238</v>
      </c>
      <c r="B62" s="251" t="s">
        <v>2239</v>
      </c>
    </row>
    <row r="63" spans="1:2" ht="12.75">
      <c r="A63" s="250" t="s">
        <v>2240</v>
      </c>
      <c r="B63" s="213" t="s">
        <v>2241</v>
      </c>
    </row>
    <row r="64" spans="1:2" ht="12.75">
      <c r="A64" s="250" t="s">
        <v>2242</v>
      </c>
      <c r="B64" s="213" t="s">
        <v>2243</v>
      </c>
    </row>
    <row r="65" spans="1:2" ht="12.75">
      <c r="A65" s="250" t="s">
        <v>2244</v>
      </c>
      <c r="B65" s="213" t="s">
        <v>2245</v>
      </c>
    </row>
    <row r="66" spans="1:2" ht="12.75">
      <c r="A66" s="250" t="s">
        <v>2246</v>
      </c>
      <c r="B66" s="213" t="s">
        <v>2247</v>
      </c>
    </row>
    <row r="67" spans="1:2" ht="12.75">
      <c r="A67" s="250" t="s">
        <v>2248</v>
      </c>
      <c r="B67" s="251" t="s">
        <v>2250</v>
      </c>
    </row>
    <row r="68" spans="1:2" ht="12.75">
      <c r="A68" s="250" t="s">
        <v>2251</v>
      </c>
      <c r="B68" s="213" t="s">
        <v>2253</v>
      </c>
    </row>
    <row r="69" spans="1:2" ht="12.75">
      <c r="A69" s="250" t="s">
        <v>2254</v>
      </c>
      <c r="B69" s="213" t="s">
        <v>2255</v>
      </c>
    </row>
    <row r="70" spans="1:2" ht="12.75">
      <c r="A70" s="250" t="s">
        <v>2256</v>
      </c>
      <c r="B70" s="213" t="s">
        <v>2257</v>
      </c>
    </row>
    <row r="71" spans="1:2" ht="12.75">
      <c r="A71" s="250" t="s">
        <v>2258</v>
      </c>
      <c r="B71" s="213" t="s">
        <v>2259</v>
      </c>
    </row>
    <row r="72" spans="1:2" ht="12.75">
      <c r="A72" s="250" t="s">
        <v>2260</v>
      </c>
      <c r="B72" s="213" t="s">
        <v>2261</v>
      </c>
    </row>
    <row r="73" spans="1:2" ht="12.75">
      <c r="A73" s="250" t="s">
        <v>2262</v>
      </c>
      <c r="B73" s="213" t="s">
        <v>2263</v>
      </c>
    </row>
    <row r="74" spans="1:2" ht="12.75">
      <c r="A74" s="250" t="s">
        <v>2264</v>
      </c>
      <c r="B74" s="213" t="s">
        <v>2265</v>
      </c>
    </row>
    <row r="75" spans="1:2" ht="12.75">
      <c r="A75" s="250" t="s">
        <v>2266</v>
      </c>
      <c r="B75" s="213" t="s">
        <v>2267</v>
      </c>
    </row>
    <row r="76" spans="1:2" ht="12.75">
      <c r="A76" s="250" t="s">
        <v>2269</v>
      </c>
      <c r="B76" s="213" t="s">
        <v>2270</v>
      </c>
    </row>
    <row r="77" spans="1:2" ht="12.75">
      <c r="A77" s="250" t="s">
        <v>2271</v>
      </c>
      <c r="B77" s="213" t="s">
        <v>2273</v>
      </c>
    </row>
    <row r="78" spans="1:2" ht="12.75">
      <c r="A78" s="250" t="s">
        <v>2274</v>
      </c>
      <c r="B78" s="213" t="s">
        <v>2275</v>
      </c>
    </row>
    <row r="79" spans="1:2" ht="12.75">
      <c r="A79" s="250" t="s">
        <v>2276</v>
      </c>
      <c r="B79" s="213" t="s">
        <v>2277</v>
      </c>
    </row>
    <row r="80" spans="1:2" ht="12.75">
      <c r="A80" s="250" t="s">
        <v>2278</v>
      </c>
      <c r="B80" s="213" t="s">
        <v>2279</v>
      </c>
    </row>
    <row r="81" spans="1:2" ht="12.75">
      <c r="A81" s="250" t="s">
        <v>2280</v>
      </c>
      <c r="B81" s="213" t="s">
        <v>2281</v>
      </c>
    </row>
    <row r="82" spans="1:2" ht="12.75">
      <c r="A82" s="250" t="s">
        <v>2282</v>
      </c>
      <c r="B82" s="213" t="s">
        <v>2283</v>
      </c>
    </row>
    <row r="83" spans="1:2" ht="12.75">
      <c r="A83" s="250" t="s">
        <v>2284</v>
      </c>
      <c r="B83" s="213" t="s">
        <v>2285</v>
      </c>
    </row>
    <row r="84" spans="1:2" ht="12.75">
      <c r="A84" s="250" t="s">
        <v>2286</v>
      </c>
      <c r="B84" s="213" t="s">
        <v>2287</v>
      </c>
    </row>
    <row r="85" spans="1:2" ht="12.75">
      <c r="A85" s="250" t="s">
        <v>2288</v>
      </c>
      <c r="B85" s="213" t="s">
        <v>2289</v>
      </c>
    </row>
    <row r="86" spans="1:2" ht="12.75">
      <c r="A86" s="250" t="s">
        <v>2290</v>
      </c>
      <c r="B86" s="213" t="s">
        <v>2291</v>
      </c>
    </row>
    <row r="87" spans="1:2" ht="12.75">
      <c r="A87" s="250" t="s">
        <v>2292</v>
      </c>
      <c r="B87" s="213" t="s">
        <v>2293</v>
      </c>
    </row>
    <row r="88" spans="1:2" ht="12.75">
      <c r="A88" s="250" t="s">
        <v>2294</v>
      </c>
      <c r="B88" s="213" t="s">
        <v>2295</v>
      </c>
    </row>
    <row r="89" spans="1:2" ht="12.75">
      <c r="A89" s="250" t="s">
        <v>2296</v>
      </c>
      <c r="B89" s="213" t="s">
        <v>2297</v>
      </c>
    </row>
    <row r="90" spans="1:2" ht="12.75">
      <c r="A90" s="250" t="s">
        <v>2298</v>
      </c>
      <c r="B90" s="213" t="s">
        <v>2299</v>
      </c>
    </row>
    <row r="91" spans="1:2" ht="12.75">
      <c r="A91" s="250" t="s">
        <v>2301</v>
      </c>
      <c r="B91" s="213" t="s">
        <v>2302</v>
      </c>
    </row>
    <row r="92" spans="1:2" ht="12.75">
      <c r="A92" s="250"/>
    </row>
    <row r="93" spans="1:2" ht="12.75">
      <c r="A93" s="250"/>
    </row>
    <row r="94" spans="1:2" ht="12.75">
      <c r="A94" s="250"/>
    </row>
    <row r="95" spans="1:2" ht="12.75">
      <c r="A95" s="250"/>
    </row>
    <row r="96" spans="1:2" ht="12.75">
      <c r="A96" s="250"/>
    </row>
    <row r="97" spans="1:1" ht="12.75">
      <c r="A97" s="250"/>
    </row>
    <row r="98" spans="1:1" ht="12.75">
      <c r="A98" s="250"/>
    </row>
    <row r="99" spans="1:1" ht="12.75">
      <c r="A99" s="250"/>
    </row>
    <row r="100" spans="1:1" ht="12.75">
      <c r="A100" s="250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6D9EEB"/>
    <outlinePr summaryBelow="0" summaryRight="0"/>
  </sheetPr>
  <dimension ref="A1:M74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3" customWidth="1"/>
    <col min="2" max="2" width="13" customWidth="1"/>
    <col min="3" max="3" width="8.85546875" customWidth="1"/>
    <col min="4" max="4" width="2.85546875" customWidth="1"/>
    <col min="5" max="5" width="15.85546875" customWidth="1"/>
    <col min="6" max="6" width="8.85546875" customWidth="1"/>
    <col min="7" max="7" width="3.140625" customWidth="1"/>
    <col min="8" max="8" width="18.42578125" customWidth="1"/>
    <col min="9" max="9" width="8.42578125" customWidth="1"/>
    <col min="10" max="10" width="3.140625" customWidth="1"/>
    <col min="11" max="11" width="15.85546875" customWidth="1"/>
    <col min="12" max="12" width="8.85546875" customWidth="1"/>
    <col min="13" max="13" width="4.28515625" customWidth="1"/>
  </cols>
  <sheetData>
    <row r="1" spans="1:13" ht="15.75" customHeight="1">
      <c r="A1" s="252"/>
      <c r="B1" s="253"/>
      <c r="C1" s="253"/>
      <c r="D1" s="254"/>
      <c r="E1" s="253"/>
      <c r="F1" s="253"/>
      <c r="G1" s="254"/>
      <c r="H1" s="253"/>
      <c r="I1" s="253"/>
      <c r="J1" s="254"/>
      <c r="K1" s="255"/>
      <c r="L1" s="255"/>
      <c r="M1" s="254"/>
    </row>
    <row r="2" spans="1:13" ht="15.75" customHeight="1">
      <c r="A2" s="252"/>
      <c r="B2" s="256" t="s">
        <v>1675</v>
      </c>
      <c r="C2" s="257" t="e">
        <f>SUM(C4:C11)</f>
        <v>#REF!</v>
      </c>
      <c r="D2" s="254"/>
      <c r="E2" s="256" t="s">
        <v>1675</v>
      </c>
      <c r="F2" s="257" t="e">
        <f>SUM(F3:F11)</f>
        <v>#REF!</v>
      </c>
      <c r="G2" s="254"/>
      <c r="H2" s="257" t="s">
        <v>1675</v>
      </c>
      <c r="I2" s="257" t="e">
        <f>SUM(I4:I74)</f>
        <v>#REF!</v>
      </c>
      <c r="J2" s="254"/>
      <c r="K2" s="258" t="s">
        <v>1675</v>
      </c>
      <c r="L2" s="259">
        <f>SUM(L4:L54)</f>
        <v>1143</v>
      </c>
      <c r="M2" s="254"/>
    </row>
    <row r="3" spans="1:13" ht="15.75" customHeight="1">
      <c r="A3" s="252"/>
      <c r="B3" s="526" t="s">
        <v>2568</v>
      </c>
      <c r="C3" s="499"/>
      <c r="D3" s="254"/>
      <c r="E3" s="526" t="s">
        <v>2569</v>
      </c>
      <c r="F3" s="499"/>
      <c r="G3" s="254"/>
      <c r="H3" s="526" t="s">
        <v>2572</v>
      </c>
      <c r="I3" s="499"/>
      <c r="J3" s="254"/>
      <c r="K3" s="527" t="s">
        <v>2573</v>
      </c>
      <c r="L3" s="499"/>
      <c r="M3" s="254"/>
    </row>
    <row r="4" spans="1:13" ht="15.75" customHeight="1">
      <c r="A4" s="252"/>
      <c r="B4" s="253">
        <v>51</v>
      </c>
      <c r="C4" s="253" t="e">
        <f t="shared" ref="C4:C18" si="0">COUNTIF(#REF!,B4)</f>
        <v>#REF!</v>
      </c>
      <c r="D4" s="254"/>
      <c r="E4" s="253" t="s">
        <v>683</v>
      </c>
      <c r="F4" s="253" t="e">
        <f t="shared" ref="F4:F10" si="1">COUNTIF(#REF!,E4)</f>
        <v>#REF!</v>
      </c>
      <c r="G4" s="254"/>
      <c r="H4" s="253">
        <v>2320</v>
      </c>
      <c r="I4" s="253" t="e">
        <f t="shared" ref="I4:I69" si="2">COUNTIF(#REF!,H4)</f>
        <v>#REF!</v>
      </c>
      <c r="J4" s="254"/>
      <c r="K4" s="255">
        <v>33</v>
      </c>
      <c r="L4" s="255">
        <f>COUNTIF('Spec ที่ยกเลิกแล้ว'!E2:E1004,K4)</f>
        <v>56</v>
      </c>
      <c r="M4" s="254"/>
    </row>
    <row r="5" spans="1:13" ht="15.75" customHeight="1">
      <c r="A5" s="252"/>
      <c r="B5" s="253">
        <v>52</v>
      </c>
      <c r="C5" s="253" t="e">
        <f t="shared" si="0"/>
        <v>#REF!</v>
      </c>
      <c r="D5" s="254"/>
      <c r="E5" s="253" t="s">
        <v>256</v>
      </c>
      <c r="F5" s="253" t="e">
        <f t="shared" si="1"/>
        <v>#REF!</v>
      </c>
      <c r="G5" s="254"/>
      <c r="H5" s="253">
        <v>2420</v>
      </c>
      <c r="I5" s="253" t="e">
        <f t="shared" si="2"/>
        <v>#REF!</v>
      </c>
      <c r="J5" s="254"/>
      <c r="K5" s="255">
        <v>34</v>
      </c>
      <c r="L5" s="255">
        <f>COUNTIF('Spec ที่ยกเลิกแล้ว'!E2:E1159,K5)</f>
        <v>61</v>
      </c>
      <c r="M5" s="254"/>
    </row>
    <row r="6" spans="1:13" ht="15.75" customHeight="1">
      <c r="A6" s="252"/>
      <c r="B6" s="253">
        <v>53</v>
      </c>
      <c r="C6" s="253" t="e">
        <f t="shared" si="0"/>
        <v>#REF!</v>
      </c>
      <c r="D6" s="254"/>
      <c r="E6" s="253" t="s">
        <v>372</v>
      </c>
      <c r="F6" s="253" t="e">
        <f t="shared" si="1"/>
        <v>#REF!</v>
      </c>
      <c r="G6" s="254"/>
      <c r="H6" s="253">
        <v>3220</v>
      </c>
      <c r="I6" s="253" t="e">
        <f t="shared" si="2"/>
        <v>#REF!</v>
      </c>
      <c r="J6" s="254"/>
      <c r="K6" s="255">
        <v>35</v>
      </c>
      <c r="L6" s="255">
        <f>COUNTIF('Spec ที่ยกเลิกแล้ว'!E4:E1160,K6)</f>
        <v>65</v>
      </c>
      <c r="M6" s="254"/>
    </row>
    <row r="7" spans="1:13" ht="15.75" customHeight="1">
      <c r="A7" s="252"/>
      <c r="B7" s="253">
        <v>54</v>
      </c>
      <c r="C7" s="253" t="e">
        <f t="shared" si="0"/>
        <v>#REF!</v>
      </c>
      <c r="D7" s="254"/>
      <c r="E7" s="253" t="s">
        <v>63</v>
      </c>
      <c r="F7" s="253" t="e">
        <f t="shared" si="1"/>
        <v>#REF!</v>
      </c>
      <c r="G7" s="254"/>
      <c r="H7" s="253">
        <v>3230</v>
      </c>
      <c r="I7" s="253" t="e">
        <f t="shared" si="2"/>
        <v>#REF!</v>
      </c>
      <c r="J7" s="254"/>
      <c r="K7" s="255">
        <v>36</v>
      </c>
      <c r="L7" s="255">
        <f>COUNTIF('Spec ที่ยกเลิกแล้ว'!E5:E1161,K7)</f>
        <v>70</v>
      </c>
      <c r="M7" s="254"/>
    </row>
    <row r="8" spans="1:13" ht="15.75" customHeight="1">
      <c r="A8" s="252"/>
      <c r="B8" s="253">
        <v>55</v>
      </c>
      <c r="C8" s="253" t="e">
        <f t="shared" si="0"/>
        <v>#REF!</v>
      </c>
      <c r="D8" s="254"/>
      <c r="E8" s="253" t="s">
        <v>191</v>
      </c>
      <c r="F8" s="253" t="e">
        <f t="shared" si="1"/>
        <v>#REF!</v>
      </c>
      <c r="G8" s="254"/>
      <c r="H8" s="253">
        <v>3405</v>
      </c>
      <c r="I8" s="253" t="e">
        <f t="shared" si="2"/>
        <v>#REF!</v>
      </c>
      <c r="J8" s="254"/>
      <c r="K8" s="255">
        <v>37</v>
      </c>
      <c r="L8" s="255">
        <f>COUNTIF('Spec ที่ยกเลิกแล้ว'!E6:E1162,K8)</f>
        <v>70</v>
      </c>
      <c r="M8" s="254"/>
    </row>
    <row r="9" spans="1:13" ht="15.75" customHeight="1">
      <c r="A9" s="252"/>
      <c r="B9" s="253">
        <v>56</v>
      </c>
      <c r="C9" s="253" t="e">
        <f t="shared" si="0"/>
        <v>#REF!</v>
      </c>
      <c r="D9" s="254"/>
      <c r="E9" s="253" t="s">
        <v>157</v>
      </c>
      <c r="F9" s="253" t="e">
        <f t="shared" si="1"/>
        <v>#REF!</v>
      </c>
      <c r="G9" s="254"/>
      <c r="H9" s="253">
        <v>3413</v>
      </c>
      <c r="I9" s="253" t="e">
        <f t="shared" si="2"/>
        <v>#REF!</v>
      </c>
      <c r="J9" s="254"/>
      <c r="K9" s="255">
        <v>38</v>
      </c>
      <c r="L9" s="255">
        <f>COUNTIF('Spec ที่ยกเลิกแล้ว'!E7:E1163,K9)</f>
        <v>129</v>
      </c>
      <c r="M9" s="254"/>
    </row>
    <row r="10" spans="1:13" ht="15.75" customHeight="1">
      <c r="A10" s="252"/>
      <c r="B10" s="253">
        <v>57</v>
      </c>
      <c r="C10" s="253" t="e">
        <f t="shared" si="0"/>
        <v>#REF!</v>
      </c>
      <c r="D10" s="254"/>
      <c r="E10" s="253" t="s">
        <v>37</v>
      </c>
      <c r="F10" s="253" t="e">
        <f t="shared" si="1"/>
        <v>#REF!</v>
      </c>
      <c r="G10" s="254"/>
      <c r="H10" s="253">
        <v>3416</v>
      </c>
      <c r="I10" s="253" t="e">
        <f t="shared" si="2"/>
        <v>#REF!</v>
      </c>
      <c r="J10" s="254"/>
      <c r="K10" s="255">
        <v>39</v>
      </c>
      <c r="L10" s="255">
        <f>COUNTIF('Spec ที่ยกเลิกแล้ว'!E7:E1164,K10)</f>
        <v>43</v>
      </c>
      <c r="M10" s="254"/>
    </row>
    <row r="11" spans="1:13" ht="15.75" customHeight="1">
      <c r="A11" s="252"/>
      <c r="B11" s="253">
        <v>58</v>
      </c>
      <c r="C11" s="253" t="e">
        <f t="shared" si="0"/>
        <v>#REF!</v>
      </c>
      <c r="D11" s="254"/>
      <c r="E11" s="253"/>
      <c r="F11" s="253"/>
      <c r="G11" s="254"/>
      <c r="H11" s="253">
        <v>3417</v>
      </c>
      <c r="I11" s="253" t="e">
        <f t="shared" si="2"/>
        <v>#REF!</v>
      </c>
      <c r="J11" s="254"/>
      <c r="K11" s="255">
        <v>40</v>
      </c>
      <c r="L11" s="255">
        <f>COUNTIF('Spec ที่ยกเลิกแล้ว'!E8:E1165,K11)</f>
        <v>118</v>
      </c>
      <c r="M11" s="254"/>
    </row>
    <row r="12" spans="1:13" ht="15.75" customHeight="1">
      <c r="A12" s="252"/>
      <c r="B12" s="253">
        <v>59</v>
      </c>
      <c r="C12" s="253" t="e">
        <f t="shared" si="0"/>
        <v>#REF!</v>
      </c>
      <c r="D12" s="254"/>
      <c r="E12" s="253"/>
      <c r="F12" s="253"/>
      <c r="G12" s="254"/>
      <c r="H12" s="253">
        <v>3431</v>
      </c>
      <c r="I12" s="253" t="e">
        <f t="shared" si="2"/>
        <v>#REF!</v>
      </c>
      <c r="J12" s="254"/>
      <c r="K12" s="255">
        <v>41</v>
      </c>
      <c r="L12" s="255">
        <f>COUNTIF('Spec ที่ยกเลิกแล้ว'!E8:E1166,K12)</f>
        <v>28</v>
      </c>
      <c r="M12" s="254"/>
    </row>
    <row r="13" spans="1:13" ht="15.75" customHeight="1">
      <c r="A13" s="252"/>
      <c r="B13" s="253">
        <v>60</v>
      </c>
      <c r="C13" s="253" t="e">
        <f t="shared" si="0"/>
        <v>#REF!</v>
      </c>
      <c r="D13" s="254"/>
      <c r="E13" s="253"/>
      <c r="F13" s="253"/>
      <c r="G13" s="254"/>
      <c r="H13" s="253">
        <v>3432</v>
      </c>
      <c r="I13" s="253" t="e">
        <f t="shared" si="2"/>
        <v>#REF!</v>
      </c>
      <c r="J13" s="254"/>
      <c r="K13" s="255">
        <v>42</v>
      </c>
      <c r="L13" s="255">
        <f>COUNTIF('Spec ที่ยกเลิกแล้ว'!E8:E1167,K13)</f>
        <v>20</v>
      </c>
      <c r="M13" s="254"/>
    </row>
    <row r="14" spans="1:13" ht="15.75" customHeight="1">
      <c r="A14" s="252"/>
      <c r="B14" s="253">
        <v>61</v>
      </c>
      <c r="C14" s="253" t="e">
        <f t="shared" si="0"/>
        <v>#REF!</v>
      </c>
      <c r="D14" s="254"/>
      <c r="E14" s="253"/>
      <c r="F14" s="253"/>
      <c r="G14" s="254"/>
      <c r="H14" s="253">
        <v>3433</v>
      </c>
      <c r="I14" s="253" t="e">
        <f t="shared" si="2"/>
        <v>#REF!</v>
      </c>
      <c r="J14" s="254"/>
      <c r="K14" s="255">
        <v>43</v>
      </c>
      <c r="L14" s="255">
        <f>COUNTIF('Spec ที่ยกเลิกแล้ว'!E8:E1168,K14)</f>
        <v>22</v>
      </c>
      <c r="M14" s="254"/>
    </row>
    <row r="15" spans="1:13" ht="15.75" customHeight="1">
      <c r="A15" s="252"/>
      <c r="B15" s="253">
        <v>62</v>
      </c>
      <c r="C15" s="253" t="e">
        <f t="shared" si="0"/>
        <v>#REF!</v>
      </c>
      <c r="D15" s="254"/>
      <c r="E15" s="253"/>
      <c r="F15" s="253"/>
      <c r="G15" s="254"/>
      <c r="H15" s="253">
        <v>3442</v>
      </c>
      <c r="I15" s="253" t="e">
        <f t="shared" si="2"/>
        <v>#REF!</v>
      </c>
      <c r="J15" s="254"/>
      <c r="K15" s="255">
        <v>44</v>
      </c>
      <c r="L15" s="255">
        <f>COUNTIF('Spec ที่ยกเลิกแล้ว'!E8:E1169,K15)</f>
        <v>40</v>
      </c>
      <c r="M15" s="254"/>
    </row>
    <row r="16" spans="1:13" ht="15.75" customHeight="1">
      <c r="A16" s="252"/>
      <c r="B16" s="253">
        <v>63</v>
      </c>
      <c r="C16" s="253" t="e">
        <f t="shared" si="0"/>
        <v>#REF!</v>
      </c>
      <c r="D16" s="254"/>
      <c r="E16" s="253"/>
      <c r="F16" s="253"/>
      <c r="G16" s="254"/>
      <c r="H16" s="253">
        <v>3750</v>
      </c>
      <c r="I16" s="253" t="e">
        <f t="shared" si="2"/>
        <v>#REF!</v>
      </c>
      <c r="J16" s="254"/>
      <c r="K16" s="255">
        <v>45</v>
      </c>
      <c r="L16" s="255">
        <f>COUNTIF('Spec ที่ยกเลิกแล้ว'!E8:E1170,K16)</f>
        <v>36</v>
      </c>
      <c r="M16" s="254"/>
    </row>
    <row r="17" spans="1:13" ht="15.75" customHeight="1">
      <c r="A17" s="252"/>
      <c r="B17" s="253">
        <v>64</v>
      </c>
      <c r="C17" s="253" t="e">
        <f t="shared" si="0"/>
        <v>#REF!</v>
      </c>
      <c r="D17" s="254"/>
      <c r="E17" s="253"/>
      <c r="F17" s="253"/>
      <c r="G17" s="254"/>
      <c r="H17" s="253">
        <v>3805</v>
      </c>
      <c r="I17" s="253" t="e">
        <f t="shared" si="2"/>
        <v>#REF!</v>
      </c>
      <c r="J17" s="254"/>
      <c r="K17" s="255">
        <v>46</v>
      </c>
      <c r="L17" s="255">
        <f>COUNTIF('Spec ที่ยกเลิกแล้ว'!E8:E1171,K17)</f>
        <v>40</v>
      </c>
      <c r="M17" s="254"/>
    </row>
    <row r="18" spans="1:13" ht="15.75" customHeight="1">
      <c r="A18" s="252"/>
      <c r="B18" s="253">
        <v>65</v>
      </c>
      <c r="C18" s="253" t="e">
        <f t="shared" si="0"/>
        <v>#REF!</v>
      </c>
      <c r="D18" s="254"/>
      <c r="E18" s="253"/>
      <c r="F18" s="253"/>
      <c r="G18" s="254"/>
      <c r="H18" s="253">
        <v>3820</v>
      </c>
      <c r="I18" s="253" t="e">
        <f t="shared" si="2"/>
        <v>#REF!</v>
      </c>
      <c r="J18" s="254"/>
      <c r="K18" s="255">
        <v>47</v>
      </c>
      <c r="L18" s="255">
        <f>COUNTIF('Spec ที่ยกเลิกแล้ว'!E9:E1172,K18)</f>
        <v>19</v>
      </c>
      <c r="M18" s="254"/>
    </row>
    <row r="19" spans="1:13" ht="15.75" customHeight="1">
      <c r="A19" s="252"/>
      <c r="B19" s="253"/>
      <c r="C19" s="253"/>
      <c r="D19" s="254"/>
      <c r="E19" s="253"/>
      <c r="F19" s="253"/>
      <c r="G19" s="254"/>
      <c r="H19" s="253">
        <v>3825</v>
      </c>
      <c r="I19" s="253" t="e">
        <f t="shared" si="2"/>
        <v>#REF!</v>
      </c>
      <c r="J19" s="254"/>
      <c r="K19" s="255">
        <v>48</v>
      </c>
      <c r="L19" s="255">
        <f>COUNTIF('Spec ที่ยกเลิกแล้ว'!E9:E1173,K19)</f>
        <v>20</v>
      </c>
      <c r="M19" s="254"/>
    </row>
    <row r="20" spans="1:13" ht="15.75" customHeight="1">
      <c r="A20" s="252"/>
      <c r="B20" s="253"/>
      <c r="C20" s="253"/>
      <c r="D20" s="254"/>
      <c r="E20" s="253"/>
      <c r="F20" s="253"/>
      <c r="G20" s="254"/>
      <c r="H20" s="253">
        <v>3895</v>
      </c>
      <c r="I20" s="253" t="e">
        <f t="shared" si="2"/>
        <v>#REF!</v>
      </c>
      <c r="J20" s="254"/>
      <c r="K20" s="255">
        <v>49</v>
      </c>
      <c r="L20" s="255">
        <f>COUNTIF('Spec ที่ยกเลิกแล้ว'!E9:E1174,K20)</f>
        <v>28</v>
      </c>
      <c r="M20" s="254"/>
    </row>
    <row r="21" spans="1:13" ht="15.75" customHeight="1">
      <c r="A21" s="252"/>
      <c r="B21" s="253"/>
      <c r="C21" s="253"/>
      <c r="D21" s="254"/>
      <c r="E21" s="253"/>
      <c r="F21" s="253"/>
      <c r="G21" s="254"/>
      <c r="H21" s="253">
        <v>3930</v>
      </c>
      <c r="I21" s="253" t="e">
        <f t="shared" si="2"/>
        <v>#REF!</v>
      </c>
      <c r="J21" s="254"/>
      <c r="K21" s="255">
        <v>50</v>
      </c>
      <c r="L21" s="255">
        <f>COUNTIF('Spec ที่ยกเลิกแล้ว'!E10:E1175,K21)</f>
        <v>31</v>
      </c>
      <c r="M21" s="254"/>
    </row>
    <row r="22" spans="1:13" ht="15.75" customHeight="1">
      <c r="A22" s="252"/>
      <c r="B22" s="253"/>
      <c r="C22" s="253"/>
      <c r="D22" s="254"/>
      <c r="E22" s="253"/>
      <c r="F22" s="253"/>
      <c r="G22" s="254"/>
      <c r="H22" s="253">
        <v>3940</v>
      </c>
      <c r="I22" s="253" t="e">
        <f t="shared" si="2"/>
        <v>#REF!</v>
      </c>
      <c r="J22" s="254"/>
      <c r="K22" s="255">
        <v>51</v>
      </c>
      <c r="L22" s="255">
        <f>COUNTIF('Spec ที่ยกเลิกแล้ว'!E10:E1176,K22)</f>
        <v>64</v>
      </c>
      <c r="M22" s="254"/>
    </row>
    <row r="23" spans="1:13" ht="15.75" customHeight="1">
      <c r="A23" s="252"/>
      <c r="B23" s="253"/>
      <c r="C23" s="253"/>
      <c r="D23" s="254"/>
      <c r="E23" s="253"/>
      <c r="F23" s="253"/>
      <c r="G23" s="254"/>
      <c r="H23" s="253">
        <v>3960</v>
      </c>
      <c r="I23" s="253" t="e">
        <f t="shared" si="2"/>
        <v>#REF!</v>
      </c>
      <c r="J23" s="254"/>
      <c r="K23" s="255">
        <v>52</v>
      </c>
      <c r="L23" s="255">
        <f>COUNTIF('Spec ที่ยกเลิกแล้ว'!E12:E1177,K23)</f>
        <v>34</v>
      </c>
      <c r="M23" s="254"/>
    </row>
    <row r="24" spans="1:13" ht="15.75" customHeight="1">
      <c r="A24" s="252"/>
      <c r="B24" s="253"/>
      <c r="C24" s="253"/>
      <c r="D24" s="254"/>
      <c r="E24" s="253"/>
      <c r="F24" s="253"/>
      <c r="G24" s="254"/>
      <c r="H24" s="253">
        <v>4120</v>
      </c>
      <c r="I24" s="253" t="e">
        <f t="shared" si="2"/>
        <v>#REF!</v>
      </c>
      <c r="J24" s="254"/>
      <c r="K24" s="255">
        <v>53</v>
      </c>
      <c r="L24" s="255">
        <f>COUNTIF('Spec ที่ยกเลิกแล้ว'!E13:E1178,K24)</f>
        <v>26</v>
      </c>
      <c r="M24" s="254"/>
    </row>
    <row r="25" spans="1:13" ht="15.75" customHeight="1">
      <c r="A25" s="252"/>
      <c r="B25" s="253"/>
      <c r="C25" s="253"/>
      <c r="D25" s="254"/>
      <c r="E25" s="253"/>
      <c r="F25" s="253"/>
      <c r="G25" s="254"/>
      <c r="H25" s="253">
        <v>4130</v>
      </c>
      <c r="I25" s="253" t="e">
        <f t="shared" si="2"/>
        <v>#REF!</v>
      </c>
      <c r="J25" s="254"/>
      <c r="K25" s="255">
        <v>54</v>
      </c>
      <c r="L25" s="255">
        <f>COUNTIF('Spec ที่ยกเลิกแล้ว'!E13:E1179,K25)</f>
        <v>26</v>
      </c>
      <c r="M25" s="254"/>
    </row>
    <row r="26" spans="1:13" ht="15.75" customHeight="1">
      <c r="A26" s="252"/>
      <c r="B26" s="253"/>
      <c r="C26" s="253"/>
      <c r="D26" s="254"/>
      <c r="E26" s="253"/>
      <c r="F26" s="253"/>
      <c r="G26" s="254"/>
      <c r="H26" s="253">
        <v>4140</v>
      </c>
      <c r="I26" s="253" t="e">
        <f t="shared" si="2"/>
        <v>#REF!</v>
      </c>
      <c r="J26" s="254"/>
      <c r="K26" s="255">
        <v>55</v>
      </c>
      <c r="L26" s="255">
        <f>COUNTIF('Spec ที่ยกเลิกแล้ว'!E14:E1180,K26)</f>
        <v>14</v>
      </c>
      <c r="M26" s="254"/>
    </row>
    <row r="27" spans="1:13" ht="15.75" customHeight="1">
      <c r="A27" s="252"/>
      <c r="B27" s="253"/>
      <c r="C27" s="253"/>
      <c r="D27" s="254"/>
      <c r="E27" s="253"/>
      <c r="F27" s="253"/>
      <c r="G27" s="254"/>
      <c r="H27" s="253">
        <v>4210</v>
      </c>
      <c r="I27" s="253" t="e">
        <f t="shared" si="2"/>
        <v>#REF!</v>
      </c>
      <c r="J27" s="254"/>
      <c r="K27" s="255">
        <v>56</v>
      </c>
      <c r="L27" s="255">
        <f>COUNTIF('Spec ที่ยกเลิกแล้ว'!E15:E1181,K27)</f>
        <v>6</v>
      </c>
      <c r="M27" s="254"/>
    </row>
    <row r="28" spans="1:13" ht="15.75" customHeight="1">
      <c r="A28" s="252"/>
      <c r="B28" s="253"/>
      <c r="C28" s="253"/>
      <c r="D28" s="254"/>
      <c r="E28" s="253"/>
      <c r="F28" s="253"/>
      <c r="G28" s="254"/>
      <c r="H28" s="253">
        <v>4240</v>
      </c>
      <c r="I28" s="253" t="e">
        <f t="shared" si="2"/>
        <v>#REF!</v>
      </c>
      <c r="J28" s="254"/>
      <c r="K28" s="255">
        <v>57</v>
      </c>
      <c r="L28" s="255">
        <f>COUNTIF('Spec ที่ยกเลิกแล้ว'!E16:E1182,K28)</f>
        <v>12</v>
      </c>
      <c r="M28" s="254"/>
    </row>
    <row r="29" spans="1:13" ht="15.75" customHeight="1">
      <c r="A29" s="252"/>
      <c r="B29" s="253"/>
      <c r="C29" s="253"/>
      <c r="D29" s="254"/>
      <c r="E29" s="253"/>
      <c r="F29" s="253"/>
      <c r="G29" s="254"/>
      <c r="H29" s="253">
        <v>4310</v>
      </c>
      <c r="I29" s="253" t="e">
        <f t="shared" si="2"/>
        <v>#REF!</v>
      </c>
      <c r="J29" s="254"/>
      <c r="K29" s="255">
        <v>58</v>
      </c>
      <c r="L29" s="255">
        <f>COUNTIF('Spec ที่ยกเลิกแล้ว'!E16:E1183,K29)</f>
        <v>20</v>
      </c>
      <c r="M29" s="254"/>
    </row>
    <row r="30" spans="1:13" ht="15.75" customHeight="1">
      <c r="A30" s="252"/>
      <c r="B30" s="253"/>
      <c r="C30" s="253"/>
      <c r="D30" s="254"/>
      <c r="E30" s="253"/>
      <c r="F30" s="253"/>
      <c r="G30" s="254"/>
      <c r="H30" s="253">
        <v>4320</v>
      </c>
      <c r="I30" s="253" t="e">
        <f t="shared" si="2"/>
        <v>#REF!</v>
      </c>
      <c r="J30" s="254"/>
      <c r="K30" s="255">
        <v>59</v>
      </c>
      <c r="L30" s="255">
        <f>COUNTIF('Spec ที่ยกเลิกแล้ว'!E17:E1184,K30)</f>
        <v>21</v>
      </c>
      <c r="M30" s="254"/>
    </row>
    <row r="31" spans="1:13" ht="15.75" customHeight="1">
      <c r="A31" s="252"/>
      <c r="B31" s="253"/>
      <c r="C31" s="253"/>
      <c r="D31" s="254"/>
      <c r="E31" s="253"/>
      <c r="F31" s="253"/>
      <c r="G31" s="254"/>
      <c r="H31" s="253">
        <v>4410</v>
      </c>
      <c r="I31" s="253" t="e">
        <f t="shared" si="2"/>
        <v>#REF!</v>
      </c>
      <c r="J31" s="254"/>
      <c r="K31" s="255">
        <v>60</v>
      </c>
      <c r="L31" s="255">
        <f>COUNTIF('Spec ที่ยกเลิกแล้ว'!E18:E1185,K31)</f>
        <v>8</v>
      </c>
      <c r="M31" s="254"/>
    </row>
    <row r="32" spans="1:13" ht="12.75">
      <c r="A32" s="252"/>
      <c r="B32" s="253"/>
      <c r="C32" s="253"/>
      <c r="D32" s="254"/>
      <c r="E32" s="253"/>
      <c r="F32" s="253"/>
      <c r="G32" s="254"/>
      <c r="H32" s="253">
        <v>4440</v>
      </c>
      <c r="I32" s="253" t="e">
        <f t="shared" si="2"/>
        <v>#REF!</v>
      </c>
      <c r="J32" s="254"/>
      <c r="K32" s="255">
        <v>61</v>
      </c>
      <c r="L32" s="255">
        <f>COUNTIF('Spec ที่ยกเลิกแล้ว'!E19:E1186,K32)</f>
        <v>7</v>
      </c>
      <c r="M32" s="254"/>
    </row>
    <row r="33" spans="1:13" ht="12.75">
      <c r="A33" s="252"/>
      <c r="B33" s="253"/>
      <c r="C33" s="253"/>
      <c r="D33" s="254"/>
      <c r="E33" s="253"/>
      <c r="F33" s="253"/>
      <c r="G33" s="254"/>
      <c r="H33" s="253">
        <v>4460</v>
      </c>
      <c r="I33" s="253" t="e">
        <f t="shared" si="2"/>
        <v>#REF!</v>
      </c>
      <c r="J33" s="254"/>
      <c r="K33" s="255">
        <v>62</v>
      </c>
      <c r="L33" s="255">
        <f>COUNTIF('Spec ที่ยกเลิกแล้ว'!E19:E1187,K33)</f>
        <v>9</v>
      </c>
      <c r="M33" s="254"/>
    </row>
    <row r="34" spans="1:13" ht="12.75">
      <c r="A34" s="252"/>
      <c r="B34" s="253"/>
      <c r="C34" s="253"/>
      <c r="D34" s="254"/>
      <c r="E34" s="253"/>
      <c r="F34" s="253"/>
      <c r="G34" s="254"/>
      <c r="H34" s="253">
        <v>4510</v>
      </c>
      <c r="I34" s="253" t="e">
        <f t="shared" si="2"/>
        <v>#REF!</v>
      </c>
      <c r="J34" s="254"/>
      <c r="K34" s="255">
        <v>63</v>
      </c>
      <c r="L34" s="255">
        <f>COUNTIF('Spec ที่ยกเลิกแล้ว'!E20:E1188,K34)</f>
        <v>0</v>
      </c>
      <c r="M34" s="254"/>
    </row>
    <row r="35" spans="1:13" ht="12.75">
      <c r="A35" s="252"/>
      <c r="B35" s="253"/>
      <c r="C35" s="253"/>
      <c r="D35" s="254"/>
      <c r="E35" s="253"/>
      <c r="F35" s="253"/>
      <c r="G35" s="254"/>
      <c r="H35" s="253">
        <v>4520</v>
      </c>
      <c r="I35" s="253" t="e">
        <f t="shared" si="2"/>
        <v>#REF!</v>
      </c>
      <c r="J35" s="254"/>
      <c r="K35" s="255">
        <v>64</v>
      </c>
      <c r="L35" s="255">
        <f>COUNTIF('Spec ที่ยกเลิกแล้ว'!E21:E1189,K35)</f>
        <v>0</v>
      </c>
      <c r="M35" s="254"/>
    </row>
    <row r="36" spans="1:13" ht="12.75">
      <c r="A36" s="252"/>
      <c r="B36" s="253"/>
      <c r="C36" s="253"/>
      <c r="D36" s="254"/>
      <c r="E36" s="253"/>
      <c r="F36" s="253"/>
      <c r="G36" s="254"/>
      <c r="H36" s="253">
        <v>4610</v>
      </c>
      <c r="I36" s="253" t="e">
        <f t="shared" si="2"/>
        <v>#REF!</v>
      </c>
      <c r="J36" s="254"/>
      <c r="K36" s="255">
        <v>65</v>
      </c>
      <c r="L36" s="255">
        <f>COUNTIF('Spec ที่ยกเลิกแล้ว'!E22:E1190,K36)</f>
        <v>0</v>
      </c>
      <c r="M36" s="254"/>
    </row>
    <row r="37" spans="1:13" ht="12.75">
      <c r="A37" s="252"/>
      <c r="B37" s="253"/>
      <c r="C37" s="253"/>
      <c r="D37" s="254"/>
      <c r="E37" s="253"/>
      <c r="F37" s="253"/>
      <c r="G37" s="254"/>
      <c r="H37" s="253">
        <v>4630</v>
      </c>
      <c r="I37" s="253" t="e">
        <f t="shared" si="2"/>
        <v>#REF!</v>
      </c>
      <c r="J37" s="254"/>
      <c r="K37" s="255"/>
      <c r="L37" s="255"/>
      <c r="M37" s="254"/>
    </row>
    <row r="38" spans="1:13" ht="12.75">
      <c r="A38" s="252"/>
      <c r="B38" s="253"/>
      <c r="C38" s="253"/>
      <c r="D38" s="254"/>
      <c r="E38" s="253"/>
      <c r="F38" s="253"/>
      <c r="G38" s="254"/>
      <c r="H38" s="253">
        <v>4910</v>
      </c>
      <c r="I38" s="253" t="e">
        <f t="shared" si="2"/>
        <v>#REF!</v>
      </c>
      <c r="J38" s="254"/>
      <c r="K38" s="255"/>
      <c r="L38" s="255"/>
      <c r="M38" s="254"/>
    </row>
    <row r="39" spans="1:13" ht="12.75">
      <c r="A39" s="252"/>
      <c r="B39" s="253"/>
      <c r="C39" s="253"/>
      <c r="D39" s="254"/>
      <c r="E39" s="253"/>
      <c r="F39" s="253"/>
      <c r="G39" s="254"/>
      <c r="H39" s="253">
        <v>4930</v>
      </c>
      <c r="I39" s="253" t="e">
        <f t="shared" si="2"/>
        <v>#REF!</v>
      </c>
      <c r="J39" s="254"/>
      <c r="K39" s="255"/>
      <c r="L39" s="255"/>
      <c r="M39" s="254"/>
    </row>
    <row r="40" spans="1:13" ht="12.75">
      <c r="A40" s="252"/>
      <c r="B40" s="253"/>
      <c r="C40" s="253"/>
      <c r="D40" s="254"/>
      <c r="E40" s="253"/>
      <c r="F40" s="253"/>
      <c r="G40" s="254"/>
      <c r="H40" s="253">
        <v>4940</v>
      </c>
      <c r="I40" s="253" t="e">
        <f t="shared" si="2"/>
        <v>#REF!</v>
      </c>
      <c r="J40" s="254"/>
      <c r="K40" s="255"/>
      <c r="L40" s="255"/>
      <c r="M40" s="254"/>
    </row>
    <row r="41" spans="1:13" ht="12.75">
      <c r="A41" s="252"/>
      <c r="B41" s="253"/>
      <c r="C41" s="253"/>
      <c r="D41" s="254"/>
      <c r="E41" s="253"/>
      <c r="F41" s="253"/>
      <c r="G41" s="254"/>
      <c r="H41" s="253">
        <v>5110</v>
      </c>
      <c r="I41" s="253" t="e">
        <f t="shared" si="2"/>
        <v>#REF!</v>
      </c>
      <c r="J41" s="254"/>
      <c r="K41" s="255"/>
      <c r="L41" s="255"/>
      <c r="M41" s="254"/>
    </row>
    <row r="42" spans="1:13" ht="12.75">
      <c r="A42" s="252"/>
      <c r="B42" s="253"/>
      <c r="C42" s="253"/>
      <c r="D42" s="254"/>
      <c r="E42" s="253"/>
      <c r="F42" s="253"/>
      <c r="G42" s="254"/>
      <c r="H42" s="253">
        <v>5120</v>
      </c>
      <c r="I42" s="253" t="e">
        <f t="shared" si="2"/>
        <v>#REF!</v>
      </c>
      <c r="J42" s="254"/>
      <c r="K42" s="255"/>
      <c r="L42" s="255"/>
      <c r="M42" s="254"/>
    </row>
    <row r="43" spans="1:13" ht="12.75">
      <c r="A43" s="252"/>
      <c r="B43" s="253"/>
      <c r="C43" s="253"/>
      <c r="D43" s="254"/>
      <c r="E43" s="253"/>
      <c r="F43" s="253"/>
      <c r="G43" s="254"/>
      <c r="H43" s="253">
        <v>5130</v>
      </c>
      <c r="I43" s="253" t="e">
        <f t="shared" si="2"/>
        <v>#REF!</v>
      </c>
      <c r="J43" s="254"/>
      <c r="K43" s="255"/>
      <c r="L43" s="255"/>
      <c r="M43" s="254"/>
    </row>
    <row r="44" spans="1:13" ht="12.75">
      <c r="A44" s="252"/>
      <c r="B44" s="253"/>
      <c r="C44" s="253"/>
      <c r="D44" s="254"/>
      <c r="E44" s="253"/>
      <c r="F44" s="253"/>
      <c r="G44" s="254"/>
      <c r="H44" s="253">
        <v>5133</v>
      </c>
      <c r="I44" s="253" t="e">
        <f t="shared" si="2"/>
        <v>#REF!</v>
      </c>
      <c r="J44" s="254"/>
      <c r="K44" s="255"/>
      <c r="L44" s="255"/>
      <c r="M44" s="254"/>
    </row>
    <row r="45" spans="1:13" ht="12.75">
      <c r="A45" s="252"/>
      <c r="B45" s="253"/>
      <c r="C45" s="253"/>
      <c r="D45" s="254"/>
      <c r="E45" s="253"/>
      <c r="F45" s="253"/>
      <c r="G45" s="254"/>
      <c r="H45" s="253">
        <v>5180</v>
      </c>
      <c r="I45" s="253" t="e">
        <f t="shared" si="2"/>
        <v>#REF!</v>
      </c>
      <c r="J45" s="254"/>
      <c r="K45" s="255"/>
      <c r="L45" s="255"/>
      <c r="M45" s="254"/>
    </row>
    <row r="46" spans="1:13" ht="12.75">
      <c r="A46" s="252"/>
      <c r="B46" s="253"/>
      <c r="C46" s="253"/>
      <c r="D46" s="254"/>
      <c r="E46" s="253"/>
      <c r="F46" s="253"/>
      <c r="G46" s="254"/>
      <c r="H46" s="253">
        <v>5210</v>
      </c>
      <c r="I46" s="253" t="e">
        <f t="shared" si="2"/>
        <v>#REF!</v>
      </c>
      <c r="J46" s="254"/>
      <c r="K46" s="255"/>
      <c r="L46" s="255"/>
      <c r="M46" s="254"/>
    </row>
    <row r="47" spans="1:13" ht="12.75">
      <c r="A47" s="252"/>
      <c r="B47" s="253"/>
      <c r="C47" s="253"/>
      <c r="D47" s="254"/>
      <c r="E47" s="253"/>
      <c r="F47" s="253"/>
      <c r="G47" s="254"/>
      <c r="H47" s="253">
        <v>5345</v>
      </c>
      <c r="I47" s="253" t="e">
        <f t="shared" si="2"/>
        <v>#REF!</v>
      </c>
      <c r="J47" s="254"/>
      <c r="K47" s="255"/>
      <c r="L47" s="255"/>
      <c r="M47" s="254"/>
    </row>
    <row r="48" spans="1:13" ht="12.75">
      <c r="A48" s="252"/>
      <c r="B48" s="253"/>
      <c r="C48" s="253"/>
      <c r="D48" s="254"/>
      <c r="E48" s="253"/>
      <c r="F48" s="253"/>
      <c r="G48" s="254"/>
      <c r="H48" s="253">
        <v>5410</v>
      </c>
      <c r="I48" s="253" t="e">
        <f t="shared" si="2"/>
        <v>#REF!</v>
      </c>
      <c r="J48" s="254"/>
      <c r="K48" s="255"/>
      <c r="L48" s="255"/>
      <c r="M48" s="254"/>
    </row>
    <row r="49" spans="1:13" ht="12.75">
      <c r="A49" s="252"/>
      <c r="B49" s="253"/>
      <c r="C49" s="253"/>
      <c r="D49" s="254"/>
      <c r="E49" s="253"/>
      <c r="F49" s="253"/>
      <c r="G49" s="254"/>
      <c r="H49" s="253">
        <v>5610</v>
      </c>
      <c r="I49" s="253" t="e">
        <f t="shared" si="2"/>
        <v>#REF!</v>
      </c>
      <c r="J49" s="254"/>
      <c r="K49" s="255"/>
      <c r="L49" s="255"/>
      <c r="M49" s="254"/>
    </row>
    <row r="50" spans="1:13" ht="12.75">
      <c r="A50" s="252"/>
      <c r="B50" s="253"/>
      <c r="C50" s="253"/>
      <c r="D50" s="254"/>
      <c r="E50" s="253"/>
      <c r="F50" s="253"/>
      <c r="G50" s="254"/>
      <c r="H50" s="253">
        <v>5660</v>
      </c>
      <c r="I50" s="253" t="e">
        <f t="shared" si="2"/>
        <v>#REF!</v>
      </c>
      <c r="J50" s="254"/>
      <c r="K50" s="255"/>
      <c r="L50" s="255"/>
      <c r="M50" s="254"/>
    </row>
    <row r="51" spans="1:13" ht="12.75">
      <c r="A51" s="252"/>
      <c r="B51" s="253"/>
      <c r="C51" s="253"/>
      <c r="D51" s="254"/>
      <c r="E51" s="253"/>
      <c r="F51" s="253"/>
      <c r="G51" s="254"/>
      <c r="H51" s="253">
        <v>5925</v>
      </c>
      <c r="I51" s="253" t="e">
        <f t="shared" si="2"/>
        <v>#REF!</v>
      </c>
      <c r="J51" s="254"/>
      <c r="K51" s="255"/>
      <c r="L51" s="255"/>
      <c r="M51" s="254"/>
    </row>
    <row r="52" spans="1:13" ht="12.75">
      <c r="A52" s="252"/>
      <c r="B52" s="253"/>
      <c r="C52" s="253"/>
      <c r="D52" s="254"/>
      <c r="E52" s="253"/>
      <c r="F52" s="253"/>
      <c r="G52" s="254"/>
      <c r="H52" s="253">
        <v>6110</v>
      </c>
      <c r="I52" s="253" t="e">
        <f t="shared" si="2"/>
        <v>#REF!</v>
      </c>
      <c r="J52" s="254"/>
      <c r="K52" s="255"/>
      <c r="L52" s="255"/>
      <c r="M52" s="254"/>
    </row>
    <row r="53" spans="1:13" ht="12.75">
      <c r="A53" s="252"/>
      <c r="B53" s="253"/>
      <c r="C53" s="253"/>
      <c r="D53" s="254"/>
      <c r="E53" s="253"/>
      <c r="F53" s="253"/>
      <c r="G53" s="254"/>
      <c r="H53" s="253">
        <v>6115</v>
      </c>
      <c r="I53" s="253" t="e">
        <f t="shared" si="2"/>
        <v>#REF!</v>
      </c>
      <c r="J53" s="254"/>
      <c r="K53" s="255"/>
      <c r="L53" s="255"/>
      <c r="M53" s="254"/>
    </row>
    <row r="54" spans="1:13" ht="12.75">
      <c r="A54" s="252"/>
      <c r="B54" s="253"/>
      <c r="C54" s="253"/>
      <c r="D54" s="254"/>
      <c r="E54" s="253"/>
      <c r="F54" s="253"/>
      <c r="G54" s="254"/>
      <c r="H54" s="253">
        <v>6125</v>
      </c>
      <c r="I54" s="253" t="e">
        <f t="shared" si="2"/>
        <v>#REF!</v>
      </c>
      <c r="J54" s="254"/>
      <c r="K54" s="255"/>
      <c r="L54" s="255"/>
      <c r="M54" s="254"/>
    </row>
    <row r="55" spans="1:13" ht="12.75">
      <c r="A55" s="252"/>
      <c r="B55" s="253"/>
      <c r="C55" s="253"/>
      <c r="D55" s="254"/>
      <c r="E55" s="253"/>
      <c r="F55" s="253"/>
      <c r="G55" s="254"/>
      <c r="H55" s="253">
        <v>6130</v>
      </c>
      <c r="I55" s="253" t="e">
        <f t="shared" si="2"/>
        <v>#REF!</v>
      </c>
      <c r="J55" s="254"/>
      <c r="K55" s="255"/>
      <c r="L55" s="255"/>
      <c r="M55" s="254"/>
    </row>
    <row r="56" spans="1:13" ht="12.75">
      <c r="A56" s="252"/>
      <c r="B56" s="253"/>
      <c r="C56" s="253"/>
      <c r="D56" s="254"/>
      <c r="E56" s="253"/>
      <c r="F56" s="253"/>
      <c r="G56" s="254"/>
      <c r="H56" s="253">
        <v>6150</v>
      </c>
      <c r="I56" s="253" t="e">
        <f t="shared" si="2"/>
        <v>#REF!</v>
      </c>
      <c r="J56" s="254"/>
      <c r="K56" s="255"/>
      <c r="L56" s="255"/>
      <c r="M56" s="254"/>
    </row>
    <row r="57" spans="1:13" ht="12.75">
      <c r="A57" s="252"/>
      <c r="B57" s="253"/>
      <c r="C57" s="253"/>
      <c r="D57" s="254"/>
      <c r="E57" s="253"/>
      <c r="F57" s="253"/>
      <c r="G57" s="254"/>
      <c r="H57" s="253">
        <v>6210</v>
      </c>
      <c r="I57" s="253" t="e">
        <f t="shared" si="2"/>
        <v>#REF!</v>
      </c>
      <c r="J57" s="254"/>
      <c r="K57" s="255"/>
      <c r="L57" s="255"/>
      <c r="M57" s="254"/>
    </row>
    <row r="58" spans="1:13" ht="12.75">
      <c r="A58" s="252"/>
      <c r="B58" s="253"/>
      <c r="C58" s="253"/>
      <c r="D58" s="254"/>
      <c r="E58" s="253"/>
      <c r="F58" s="253"/>
      <c r="G58" s="254"/>
      <c r="H58" s="253">
        <v>6310</v>
      </c>
      <c r="I58" s="253" t="e">
        <f t="shared" si="2"/>
        <v>#REF!</v>
      </c>
      <c r="J58" s="254"/>
      <c r="K58" s="255"/>
      <c r="L58" s="255"/>
      <c r="M58" s="254"/>
    </row>
    <row r="59" spans="1:13" ht="12.75">
      <c r="A59" s="252"/>
      <c r="B59" s="253"/>
      <c r="C59" s="253"/>
      <c r="D59" s="254"/>
      <c r="E59" s="253"/>
      <c r="F59" s="253"/>
      <c r="G59" s="254"/>
      <c r="H59" s="253">
        <v>6625</v>
      </c>
      <c r="I59" s="253" t="e">
        <f t="shared" si="2"/>
        <v>#REF!</v>
      </c>
      <c r="J59" s="254"/>
      <c r="K59" s="255"/>
      <c r="L59" s="255"/>
      <c r="M59" s="254"/>
    </row>
    <row r="60" spans="1:13" ht="12.75">
      <c r="A60" s="252"/>
      <c r="B60" s="253"/>
      <c r="C60" s="253"/>
      <c r="D60" s="254"/>
      <c r="E60" s="253"/>
      <c r="F60" s="253"/>
      <c r="G60" s="254"/>
      <c r="H60" s="253">
        <v>6630</v>
      </c>
      <c r="I60" s="253" t="e">
        <f t="shared" si="2"/>
        <v>#REF!</v>
      </c>
      <c r="J60" s="254"/>
      <c r="K60" s="255"/>
      <c r="L60" s="255"/>
      <c r="M60" s="254"/>
    </row>
    <row r="61" spans="1:13" ht="12.75">
      <c r="A61" s="252"/>
      <c r="B61" s="253"/>
      <c r="C61" s="253"/>
      <c r="D61" s="254"/>
      <c r="E61" s="253"/>
      <c r="F61" s="253"/>
      <c r="G61" s="254"/>
      <c r="H61" s="253">
        <v>6635</v>
      </c>
      <c r="I61" s="253" t="e">
        <f t="shared" si="2"/>
        <v>#REF!</v>
      </c>
      <c r="J61" s="254"/>
      <c r="K61" s="255"/>
      <c r="L61" s="255"/>
      <c r="M61" s="254"/>
    </row>
    <row r="62" spans="1:13" ht="12.75">
      <c r="A62" s="252"/>
      <c r="B62" s="253"/>
      <c r="C62" s="253"/>
      <c r="D62" s="254"/>
      <c r="E62" s="253"/>
      <c r="F62" s="253"/>
      <c r="G62" s="254"/>
      <c r="H62" s="253">
        <v>6675</v>
      </c>
      <c r="I62" s="253" t="e">
        <f t="shared" si="2"/>
        <v>#REF!</v>
      </c>
      <c r="J62" s="254"/>
      <c r="K62" s="255"/>
      <c r="L62" s="255"/>
      <c r="M62" s="254"/>
    </row>
    <row r="63" spans="1:13" ht="12.75">
      <c r="A63" s="252"/>
      <c r="B63" s="253"/>
      <c r="C63" s="253"/>
      <c r="D63" s="254"/>
      <c r="E63" s="253"/>
      <c r="F63" s="253"/>
      <c r="G63" s="254"/>
      <c r="H63" s="253">
        <v>6680</v>
      </c>
      <c r="I63" s="253" t="e">
        <f t="shared" si="2"/>
        <v>#REF!</v>
      </c>
      <c r="J63" s="254"/>
      <c r="K63" s="255"/>
      <c r="L63" s="255"/>
      <c r="M63" s="254"/>
    </row>
    <row r="64" spans="1:13" ht="12.75">
      <c r="A64" s="252"/>
      <c r="B64" s="253"/>
      <c r="C64" s="253"/>
      <c r="D64" s="254"/>
      <c r="E64" s="253"/>
      <c r="F64" s="253"/>
      <c r="G64" s="254"/>
      <c r="H64" s="253">
        <v>6685</v>
      </c>
      <c r="I64" s="253" t="e">
        <f t="shared" si="2"/>
        <v>#REF!</v>
      </c>
      <c r="J64" s="254"/>
      <c r="K64" s="255"/>
      <c r="L64" s="255"/>
      <c r="M64" s="254"/>
    </row>
    <row r="65" spans="1:13" ht="12.75">
      <c r="A65" s="252"/>
      <c r="B65" s="253"/>
      <c r="C65" s="253"/>
      <c r="D65" s="254"/>
      <c r="E65" s="253"/>
      <c r="F65" s="253"/>
      <c r="G65" s="254"/>
      <c r="H65" s="253">
        <v>6695</v>
      </c>
      <c r="I65" s="253" t="e">
        <f t="shared" si="2"/>
        <v>#REF!</v>
      </c>
      <c r="J65" s="254"/>
      <c r="K65" s="255"/>
      <c r="L65" s="255"/>
      <c r="M65" s="254"/>
    </row>
    <row r="66" spans="1:13" ht="12.75">
      <c r="A66" s="252"/>
      <c r="B66" s="253"/>
      <c r="C66" s="253"/>
      <c r="D66" s="254"/>
      <c r="E66" s="253"/>
      <c r="F66" s="253"/>
      <c r="G66" s="254"/>
      <c r="H66" s="253">
        <v>6810</v>
      </c>
      <c r="I66" s="253" t="e">
        <f t="shared" si="2"/>
        <v>#REF!</v>
      </c>
      <c r="J66" s="254"/>
      <c r="K66" s="255"/>
      <c r="L66" s="255"/>
      <c r="M66" s="254"/>
    </row>
    <row r="67" spans="1:13" ht="12.75">
      <c r="A67" s="252"/>
      <c r="B67" s="253"/>
      <c r="C67" s="253"/>
      <c r="D67" s="254"/>
      <c r="E67" s="253"/>
      <c r="F67" s="253"/>
      <c r="G67" s="254"/>
      <c r="H67" s="253">
        <v>6840</v>
      </c>
      <c r="I67" s="253" t="e">
        <f t="shared" si="2"/>
        <v>#REF!</v>
      </c>
      <c r="J67" s="254"/>
      <c r="K67" s="255"/>
      <c r="L67" s="255"/>
      <c r="M67" s="254"/>
    </row>
    <row r="68" spans="1:13" ht="12.75">
      <c r="A68" s="252"/>
      <c r="B68" s="253"/>
      <c r="C68" s="253"/>
      <c r="D68" s="254"/>
      <c r="E68" s="253"/>
      <c r="F68" s="253"/>
      <c r="G68" s="254"/>
      <c r="H68" s="253">
        <v>8415</v>
      </c>
      <c r="I68" s="253" t="e">
        <f t="shared" si="2"/>
        <v>#REF!</v>
      </c>
      <c r="J68" s="254"/>
      <c r="K68" s="255"/>
      <c r="L68" s="255"/>
      <c r="M68" s="254"/>
    </row>
    <row r="69" spans="1:13" ht="12.75">
      <c r="A69" s="252"/>
      <c r="B69" s="253"/>
      <c r="C69" s="253"/>
      <c r="D69" s="254"/>
      <c r="E69" s="253"/>
      <c r="F69" s="253"/>
      <c r="G69" s="254"/>
      <c r="H69" s="253">
        <v>9999</v>
      </c>
      <c r="I69" s="253" t="e">
        <f t="shared" si="2"/>
        <v>#REF!</v>
      </c>
      <c r="J69" s="254"/>
      <c r="K69" s="255"/>
      <c r="L69" s="255"/>
      <c r="M69" s="254"/>
    </row>
    <row r="70" spans="1:13" ht="12.75">
      <c r="A70" s="252"/>
      <c r="B70" s="253"/>
      <c r="C70" s="253"/>
      <c r="D70" s="254"/>
      <c r="E70" s="253"/>
      <c r="F70" s="253"/>
      <c r="G70" s="254"/>
      <c r="H70" s="253"/>
      <c r="I70" s="253"/>
      <c r="J70" s="254"/>
      <c r="K70" s="255"/>
      <c r="L70" s="255"/>
      <c r="M70" s="254"/>
    </row>
    <row r="71" spans="1:13" ht="12.75">
      <c r="A71" s="252"/>
      <c r="B71" s="253"/>
      <c r="C71" s="253"/>
      <c r="D71" s="254"/>
      <c r="E71" s="253"/>
      <c r="F71" s="253"/>
      <c r="G71" s="254"/>
      <c r="H71" s="253"/>
      <c r="I71" s="253"/>
      <c r="J71" s="254"/>
      <c r="K71" s="255"/>
      <c r="L71" s="255"/>
      <c r="M71" s="254"/>
    </row>
    <row r="72" spans="1:13" ht="12.75">
      <c r="A72" s="252"/>
      <c r="B72" s="253"/>
      <c r="C72" s="253"/>
      <c r="D72" s="254"/>
      <c r="E72" s="253"/>
      <c r="F72" s="253"/>
      <c r="G72" s="254"/>
      <c r="H72" s="253"/>
      <c r="I72" s="253"/>
      <c r="J72" s="254"/>
      <c r="K72" s="255"/>
      <c r="L72" s="255"/>
      <c r="M72" s="254"/>
    </row>
    <row r="73" spans="1:13" ht="12.75">
      <c r="A73" s="252"/>
      <c r="B73" s="253"/>
      <c r="C73" s="253"/>
      <c r="D73" s="254"/>
      <c r="E73" s="253"/>
      <c r="F73" s="253"/>
      <c r="G73" s="254"/>
      <c r="H73" s="253"/>
      <c r="I73" s="253"/>
      <c r="J73" s="254"/>
      <c r="K73" s="255"/>
      <c r="L73" s="255"/>
      <c r="M73" s="254"/>
    </row>
    <row r="74" spans="1:13" ht="12.75">
      <c r="A74" s="252"/>
      <c r="B74" s="253"/>
      <c r="C74" s="253"/>
      <c r="D74" s="254"/>
      <c r="E74" s="253"/>
      <c r="F74" s="253"/>
      <c r="G74" s="254"/>
      <c r="H74" s="253"/>
      <c r="I74" s="253"/>
      <c r="J74" s="254"/>
      <c r="K74" s="260"/>
      <c r="L74" s="260"/>
      <c r="M74" s="254"/>
    </row>
  </sheetData>
  <mergeCells count="4">
    <mergeCell ref="H3:I3"/>
    <mergeCell ref="B3:C3"/>
    <mergeCell ref="E3:F3"/>
    <mergeCell ref="K3:L3"/>
  </mergeCells>
  <conditionalFormatting sqref="I4:I74">
    <cfRule type="cellIs" dxfId="11" priority="1" operator="lessThanOrEqual">
      <formula>0</formula>
    </cfRule>
  </conditionalFormatting>
  <conditionalFormatting sqref="L4:L36">
    <cfRule type="cellIs" dxfId="10" priority="2" operator="lessThanOrEqual">
      <formula>0</formula>
    </cfRule>
  </conditionalFormatting>
  <conditionalFormatting sqref="C4:C18">
    <cfRule type="cellIs" dxfId="9" priority="3" operator="lessThanOrEqual">
      <formula>0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filterMode="1">
    <outlinePr summaryBelow="0" summaryRight="0"/>
  </sheetPr>
  <dimension ref="A1:Y616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23.5703125" customWidth="1"/>
    <col min="2" max="2" width="6.5703125" hidden="1" customWidth="1"/>
    <col min="3" max="3" width="8.42578125" customWidth="1"/>
    <col min="4" max="4" width="10.42578125" customWidth="1"/>
    <col min="5" max="5" width="5.42578125" customWidth="1"/>
    <col min="6" max="6" width="43.42578125" customWidth="1"/>
    <col min="7" max="7" width="9.28515625" customWidth="1"/>
    <col min="8" max="8" width="9.85546875" customWidth="1"/>
    <col min="9" max="9" width="13.140625" hidden="1" customWidth="1"/>
    <col min="10" max="10" width="11" customWidth="1"/>
    <col min="11" max="11" width="11.5703125" hidden="1" customWidth="1"/>
    <col min="12" max="12" width="10.42578125" hidden="1" customWidth="1"/>
    <col min="13" max="13" width="33.28515625" customWidth="1"/>
    <col min="14" max="25" width="24.42578125" customWidth="1"/>
  </cols>
  <sheetData>
    <row r="1" spans="1:25" ht="18.75">
      <c r="A1" s="261" t="s">
        <v>2742</v>
      </c>
      <c r="B1" s="261" t="s">
        <v>2747</v>
      </c>
      <c r="C1" s="261" t="s">
        <v>2</v>
      </c>
      <c r="D1" s="261" t="s">
        <v>3</v>
      </c>
      <c r="E1" s="261" t="s">
        <v>4</v>
      </c>
      <c r="F1" s="261" t="s">
        <v>2754</v>
      </c>
      <c r="G1" s="261" t="s">
        <v>1671</v>
      </c>
      <c r="H1" s="261" t="s">
        <v>2755</v>
      </c>
      <c r="I1" s="261" t="s">
        <v>1685</v>
      </c>
      <c r="J1" s="261"/>
      <c r="K1" s="261" t="s">
        <v>6</v>
      </c>
      <c r="L1" s="261" t="s">
        <v>9</v>
      </c>
      <c r="M1" s="261" t="s">
        <v>11</v>
      </c>
      <c r="N1" s="261" t="s">
        <v>1473</v>
      </c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</row>
    <row r="2" spans="1:25" ht="18.75">
      <c r="A2" s="528" t="s">
        <v>808</v>
      </c>
      <c r="B2" s="499"/>
      <c r="C2" s="499"/>
      <c r="D2" s="499"/>
      <c r="E2" s="499"/>
      <c r="F2" s="263"/>
      <c r="G2" s="264" t="s">
        <v>2762</v>
      </c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</row>
    <row r="3" spans="1:25" ht="37.5">
      <c r="A3" s="88" t="str">
        <f ca="1">IFERROR(__xludf.DUMMYFUNCTION("FILTER('52-60'!A:N,'52-60'!A:A=A2)"),"ผ่านการพิจารณา รอ จก.ชย.ทอ.ลงนาม")</f>
        <v>ผ่านการพิจารณา รอ จก.ชย.ทอ.ลงนาม</v>
      </c>
      <c r="B3" s="121">
        <f ca="1">IFERROR(__xludf.DUMMYFUNCTION("""COMPUTED_VALUE"""),4320)</f>
        <v>4320</v>
      </c>
      <c r="C3" s="121" t="str">
        <f ca="1">IFERROR(__xludf.DUMMYFUNCTION("""COMPUTED_VALUE"""),"กปภ.ฯ")</f>
        <v>กปภ.ฯ</v>
      </c>
      <c r="D3" s="88" t="str">
        <f ca="1">IFERROR(__xludf.DUMMYFUNCTION("""COMPUTED_VALUE"""),"4320 1/62")</f>
        <v>4320 1/62</v>
      </c>
      <c r="E3" s="121">
        <f ca="1">IFERROR(__xludf.DUMMYFUNCTION("""COMPUTED_VALUE"""),62)</f>
        <v>62</v>
      </c>
      <c r="F3" s="24" t="str">
        <f ca="1">IFERROR(__xludf.DUMMYFUNCTION("""COMPUTED_VALUE"""),"เครื่องสูบน้ำเครื่องยนต์เบนซิน ขนาด 1,100 ลิตรต่่อนาที")</f>
        <v>เครื่องสูบน้ำเครื่องยนต์เบนซิน ขนาด 1,100 ลิตรต่่อนาที</v>
      </c>
      <c r="G3" s="26" t="str">
        <f ca="1">IFERROR(__xludf.DUMMYFUNCTION("""COMPUTED_VALUE"""),"เครื่อง")</f>
        <v>เครื่อง</v>
      </c>
      <c r="H3" s="152">
        <f ca="1">IFERROR(__xludf.DUMMYFUNCTION("""COMPUTED_VALUE"""),16500)</f>
        <v>16500</v>
      </c>
      <c r="I3" s="265" t="str">
        <f ca="1">IFERROR(__xludf.DUMMYFUNCTION("""COMPUTED_VALUE"""),"")</f>
        <v/>
      </c>
      <c r="J3" s="26" t="str">
        <f ca="1">IFERROR(__xludf.DUMMYFUNCTION("""COMPUTED_VALUE"""),"")</f>
        <v/>
      </c>
      <c r="K3" s="152" t="str">
        <f ca="1">IFERROR(__xludf.DUMMYFUNCTION("""COMPUTED_VALUE"""),"")</f>
        <v/>
      </c>
      <c r="L3" s="266" t="str">
        <f ca="1">IFERROR(__xludf.DUMMYFUNCTION("""COMPUTED_VALUE"""),"")</f>
        <v/>
      </c>
      <c r="M3" s="24" t="str">
        <f ca="1">IFERROR(__xludf.DUMMYFUNCTION("""COMPUTED_VALUE"""),"")</f>
        <v/>
      </c>
      <c r="N3" s="24" t="str">
        <f ca="1">IFERROR(__xludf.DUMMYFUNCTION("""COMPUTED_VALUE"""),"")</f>
        <v/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ht="18.75" hidden="1">
      <c r="A4" s="121"/>
      <c r="B4" s="121"/>
      <c r="C4" s="121"/>
      <c r="D4" s="121"/>
      <c r="E4" s="121"/>
      <c r="F4" s="24"/>
      <c r="G4" s="121"/>
      <c r="H4" s="24"/>
      <c r="I4" s="24"/>
      <c r="J4" s="121"/>
      <c r="K4" s="24"/>
      <c r="L4" s="24"/>
      <c r="M4" s="24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</row>
    <row r="5" spans="1:25" ht="18.75" hidden="1">
      <c r="A5" s="121"/>
      <c r="B5" s="121"/>
      <c r="C5" s="121"/>
      <c r="D5" s="121"/>
      <c r="E5" s="121"/>
      <c r="F5" s="24"/>
      <c r="G5" s="121"/>
      <c r="H5" s="24"/>
      <c r="I5" s="24"/>
      <c r="J5" s="121"/>
      <c r="K5" s="24"/>
      <c r="L5" s="24"/>
      <c r="M5" s="24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</row>
    <row r="6" spans="1:25" ht="18.75" hidden="1">
      <c r="A6" s="121"/>
      <c r="B6" s="121"/>
      <c r="C6" s="121"/>
      <c r="D6" s="121"/>
      <c r="E6" s="121"/>
      <c r="F6" s="24"/>
      <c r="G6" s="121"/>
      <c r="H6" s="24"/>
      <c r="I6" s="24"/>
      <c r="J6" s="121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ht="18.75" hidden="1">
      <c r="A7" s="121"/>
      <c r="B7" s="121"/>
      <c r="C7" s="121"/>
      <c r="D7" s="121"/>
      <c r="E7" s="121"/>
      <c r="F7" s="24"/>
      <c r="G7" s="121"/>
      <c r="H7" s="24"/>
      <c r="I7" s="24"/>
      <c r="J7" s="121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ht="18.75" hidden="1">
      <c r="A8" s="121"/>
      <c r="B8" s="121"/>
      <c r="C8" s="121"/>
      <c r="D8" s="121"/>
      <c r="E8" s="121"/>
      <c r="F8" s="24"/>
      <c r="G8" s="121"/>
      <c r="H8" s="24"/>
      <c r="I8" s="24"/>
      <c r="J8" s="121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ht="18.75" hidden="1">
      <c r="A9" s="121"/>
      <c r="B9" s="121"/>
      <c r="C9" s="121"/>
      <c r="D9" s="121"/>
      <c r="E9" s="121"/>
      <c r="F9" s="24"/>
      <c r="G9" s="121"/>
      <c r="H9" s="24"/>
      <c r="I9" s="24"/>
      <c r="J9" s="121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ht="18.75" hidden="1">
      <c r="A10" s="121"/>
      <c r="B10" s="121"/>
      <c r="C10" s="121"/>
      <c r="D10" s="121"/>
      <c r="E10" s="121"/>
      <c r="F10" s="24"/>
      <c r="G10" s="121"/>
      <c r="H10" s="24"/>
      <c r="I10" s="24"/>
      <c r="J10" s="121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ht="18.75" hidden="1">
      <c r="A11" s="121"/>
      <c r="B11" s="121"/>
      <c r="C11" s="121"/>
      <c r="D11" s="121"/>
      <c r="E11" s="121"/>
      <c r="F11" s="24"/>
      <c r="G11" s="121"/>
      <c r="H11" s="24"/>
      <c r="I11" s="24"/>
      <c r="J11" s="121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ht="18.75" hidden="1">
      <c r="A12" s="121"/>
      <c r="B12" s="121"/>
      <c r="C12" s="121"/>
      <c r="D12" s="121"/>
      <c r="E12" s="121"/>
      <c r="F12" s="24"/>
      <c r="G12" s="121"/>
      <c r="H12" s="24"/>
      <c r="I12" s="24"/>
      <c r="J12" s="121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ht="18.75">
      <c r="A13" s="528" t="s">
        <v>2786</v>
      </c>
      <c r="B13" s="499"/>
      <c r="C13" s="499"/>
      <c r="D13" s="499"/>
      <c r="E13" s="499"/>
      <c r="F13" s="263"/>
      <c r="G13" s="264" t="s">
        <v>2762</v>
      </c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</row>
    <row r="14" spans="1:25" ht="18.75">
      <c r="A14" s="121" t="str">
        <f ca="1">IFERROR(__xludf.DUMMYFUNCTION("FILTER('52-60'!A:N,'52-60'!A:A=A13)"),"#N/A")</f>
        <v>#N/A</v>
      </c>
      <c r="B14" s="121"/>
      <c r="C14" s="121"/>
      <c r="D14" s="121"/>
      <c r="E14" s="121"/>
      <c r="F14" s="24"/>
      <c r="G14" s="121"/>
      <c r="H14" s="24"/>
      <c r="I14" s="24"/>
      <c r="J14" s="121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" ht="18.75" hidden="1">
      <c r="A15" s="121"/>
      <c r="B15" s="121"/>
      <c r="C15" s="121"/>
      <c r="D15" s="121"/>
      <c r="E15" s="121"/>
      <c r="F15" s="24"/>
      <c r="G15" s="121"/>
      <c r="H15" s="24"/>
      <c r="I15" s="24"/>
      <c r="J15" s="121"/>
      <c r="K15" s="24"/>
      <c r="L15" s="24"/>
      <c r="M15" s="24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</row>
    <row r="16" spans="1:25" ht="18.75" hidden="1">
      <c r="A16" s="121"/>
      <c r="B16" s="121"/>
      <c r="C16" s="121"/>
      <c r="D16" s="121"/>
      <c r="E16" s="121"/>
      <c r="F16" s="24"/>
      <c r="G16" s="121"/>
      <c r="H16" s="24"/>
      <c r="I16" s="24"/>
      <c r="J16" s="121"/>
      <c r="K16" s="24"/>
      <c r="L16" s="24"/>
      <c r="M16" s="24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</row>
    <row r="17" spans="1:25" ht="18.75" hidden="1">
      <c r="A17" s="121"/>
      <c r="B17" s="121"/>
      <c r="C17" s="121"/>
      <c r="D17" s="121"/>
      <c r="E17" s="121"/>
      <c r="F17" s="24"/>
      <c r="G17" s="121"/>
      <c r="H17" s="24"/>
      <c r="I17" s="24"/>
      <c r="J17" s="121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ht="18.75" hidden="1">
      <c r="A18" s="121"/>
      <c r="B18" s="121"/>
      <c r="C18" s="121"/>
      <c r="D18" s="121"/>
      <c r="E18" s="121"/>
      <c r="F18" s="24"/>
      <c r="G18" s="121"/>
      <c r="H18" s="24"/>
      <c r="I18" s="24"/>
      <c r="J18" s="121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ht="18.75" hidden="1">
      <c r="A19" s="121"/>
      <c r="B19" s="121"/>
      <c r="C19" s="121"/>
      <c r="D19" s="121"/>
      <c r="E19" s="121"/>
      <c r="F19" s="24"/>
      <c r="G19" s="121"/>
      <c r="H19" s="24"/>
      <c r="I19" s="24"/>
      <c r="J19" s="121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ht="18.75" hidden="1">
      <c r="A20" s="121"/>
      <c r="B20" s="121"/>
      <c r="C20" s="121"/>
      <c r="D20" s="121"/>
      <c r="E20" s="121"/>
      <c r="F20" s="24"/>
      <c r="G20" s="121"/>
      <c r="H20" s="24"/>
      <c r="I20" s="24"/>
      <c r="J20" s="121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ht="18.75" hidden="1">
      <c r="A21" s="121"/>
      <c r="B21" s="121"/>
      <c r="C21" s="121"/>
      <c r="D21" s="121"/>
      <c r="E21" s="121"/>
      <c r="F21" s="24"/>
      <c r="G21" s="121"/>
      <c r="H21" s="24"/>
      <c r="I21" s="24"/>
      <c r="J21" s="121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5" ht="18.75" hidden="1">
      <c r="A22" s="121"/>
      <c r="B22" s="121"/>
      <c r="C22" s="121"/>
      <c r="D22" s="121"/>
      <c r="E22" s="121"/>
      <c r="F22" s="24"/>
      <c r="G22" s="121"/>
      <c r="H22" s="24"/>
      <c r="I22" s="24"/>
      <c r="J22" s="121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ht="18.75" hidden="1">
      <c r="A23" s="121"/>
      <c r="B23" s="121"/>
      <c r="C23" s="121"/>
      <c r="D23" s="121"/>
      <c r="E23" s="121"/>
      <c r="F23" s="24"/>
      <c r="G23" s="121"/>
      <c r="H23" s="24"/>
      <c r="I23" s="24"/>
      <c r="J23" s="121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5" ht="18.75">
      <c r="A24" s="528" t="s">
        <v>1196</v>
      </c>
      <c r="B24" s="499"/>
      <c r="C24" s="499"/>
      <c r="D24" s="499"/>
      <c r="E24" s="499"/>
      <c r="F24" s="263"/>
      <c r="G24" s="264" t="s">
        <v>2762</v>
      </c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</row>
    <row r="25" spans="1:25" ht="56.25">
      <c r="A25" s="272" t="str">
        <f ca="1">IFERROR(__xludf.DUMMYFUNCTION("FILTER('52-60'!A:N,'52-60'!A:A=A24)"),"รอเข้าพิจารณา คุณลักษณะฯ")</f>
        <v>รอเข้าพิจารณา คุณลักษณะฯ</v>
      </c>
      <c r="B25" s="121">
        <f ca="1">IFERROR(__xludf.DUMMYFUNCTION("""COMPUTED_VALUE"""),6635)</f>
        <v>6635</v>
      </c>
      <c r="C25" s="121" t="str">
        <f ca="1">IFERROR(__xludf.DUMMYFUNCTION("""COMPUTED_VALUE"""),"กวก.ฯ")</f>
        <v>กวก.ฯ</v>
      </c>
      <c r="D25" s="88" t="str">
        <f ca="1">IFERROR(__xludf.DUMMYFUNCTION("""COMPUTED_VALUE"""),"6635 ..../62")</f>
        <v>6635 ..../62</v>
      </c>
      <c r="E25" s="121">
        <f ca="1">IFERROR(__xludf.DUMMYFUNCTION("""COMPUTED_VALUE"""),61)</f>
        <v>61</v>
      </c>
      <c r="F25" s="46" t="str">
        <f ca="1">IFERROR(__xludf.DUMMYFUNCTION("""COMPUTED_VALUE"""),"ชุดทดสอบความหนาแน่นของดินในสนามแบบ ELECTRICAL DENSITY GAUGE  -  (รอเข้าพิจารณา คุณลักษณะฯ)")</f>
        <v>ชุดทดสอบความหนาแน่นของดินในสนามแบบ ELECTRICAL DENSITY GAUGE  -  (รอเข้าพิจารณา คุณลักษณะฯ)</v>
      </c>
      <c r="G25" s="26" t="str">
        <f ca="1">IFERROR(__xludf.DUMMYFUNCTION("""COMPUTED_VALUE"""),"ชุด")</f>
        <v>ชุด</v>
      </c>
      <c r="H25" s="152">
        <f ca="1">IFERROR(__xludf.DUMMYFUNCTION("""COMPUTED_VALUE"""),980000)</f>
        <v>980000</v>
      </c>
      <c r="I25" s="265">
        <f ca="1">IFERROR(__xludf.DUMMYFUNCTION("""COMPUTED_VALUE"""),241611)</f>
        <v>241611</v>
      </c>
      <c r="J25" s="26" t="str">
        <f ca="1">IFERROR(__xludf.DUMMYFUNCTION("""COMPUTED_VALUE"""),"")</f>
        <v/>
      </c>
      <c r="K25" s="152" t="str">
        <f ca="1">IFERROR(__xludf.DUMMYFUNCTION("""COMPUTED_VALUE"""),"")</f>
        <v/>
      </c>
      <c r="L25" s="266" t="str">
        <f ca="1">IFERROR(__xludf.DUMMYFUNCTION("""COMPUTED_VALUE"""),"")</f>
        <v/>
      </c>
      <c r="M25" s="24" t="str">
        <f ca="1">IFERROR(__xludf.DUMMYFUNCTION("""COMPUTED_VALUE"""),"12-02-62  อยู่ะหว่างการจัดทำเสปค")</f>
        <v>12-02-62  อยู่ะหว่างการจัดทำเสปค</v>
      </c>
      <c r="N25" s="265" t="str">
        <f ca="1">IFERROR(__xludf.DUMMYFUNCTION("""COMPUTED_VALUE"""),"ไม่ผ่านการประชุมขากกองฯ")</f>
        <v>ไม่ผ่านการประชุมขากกองฯ</v>
      </c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</row>
    <row r="26" spans="1:25" ht="18.75" hidden="1">
      <c r="A26" s="88" t="str">
        <f ca="1">IFERROR(__xludf.DUMMYFUNCTION("""COMPUTED_VALUE"""),"รอเข้าพิจารณา คุณลักษณะฯ")</f>
        <v>รอเข้าพิจารณา คุณลักษณะฯ</v>
      </c>
      <c r="B26" s="121">
        <f ca="1">IFERROR(__xludf.DUMMYFUNCTION("""COMPUTED_VALUE"""),6675)</f>
        <v>6675</v>
      </c>
      <c r="C26" s="121" t="str">
        <f ca="1">IFERROR(__xludf.DUMMYFUNCTION("""COMPUTED_VALUE"""),"กวก.ฯ")</f>
        <v>กวก.ฯ</v>
      </c>
      <c r="D26" s="88" t="str">
        <f ca="1">IFERROR(__xludf.DUMMYFUNCTION("""COMPUTED_VALUE"""),"6675 ..../62")</f>
        <v>6675 ..../62</v>
      </c>
      <c r="E26" s="121">
        <f ca="1">IFERROR(__xludf.DUMMYFUNCTION("""COMPUTED_VALUE"""),62)</f>
        <v>62</v>
      </c>
      <c r="F26" s="46" t="str">
        <f ca="1">IFERROR(__xludf.DUMMYFUNCTION("""COMPUTED_VALUE"""),"ชุดเครื่องมือออกแบบเขียนแบบ งานวิศวกรรมโครงสร้าง")</f>
        <v>ชุดเครื่องมือออกแบบเขียนแบบ งานวิศวกรรมโครงสร้าง</v>
      </c>
      <c r="G26" s="26" t="str">
        <f ca="1">IFERROR(__xludf.DUMMYFUNCTION("""COMPUTED_VALUE"""),"ชุด")</f>
        <v>ชุด</v>
      </c>
      <c r="H26" s="152">
        <f ca="1">IFERROR(__xludf.DUMMYFUNCTION("""COMPUTED_VALUE"""),400000)</f>
        <v>400000</v>
      </c>
      <c r="I26" s="265" t="str">
        <f ca="1">IFERROR(__xludf.DUMMYFUNCTION("""COMPUTED_VALUE"""),"")</f>
        <v/>
      </c>
      <c r="J26" s="26" t="str">
        <f ca="1">IFERROR(__xludf.DUMMYFUNCTION("""COMPUTED_VALUE"""),"")</f>
        <v/>
      </c>
      <c r="K26" s="152" t="str">
        <f ca="1">IFERROR(__xludf.DUMMYFUNCTION("""COMPUTED_VALUE"""),"")</f>
        <v/>
      </c>
      <c r="L26" s="152" t="str">
        <f ca="1">IFERROR(__xludf.DUMMYFUNCTION("""COMPUTED_VALUE"""),"")</f>
        <v/>
      </c>
      <c r="M26" s="24" t="str">
        <f ca="1">IFERROR(__xludf.DUMMYFUNCTION("""COMPUTED_VALUE"""),"")</f>
        <v/>
      </c>
      <c r="N26" s="265" t="str">
        <f ca="1">IFERROR(__xludf.DUMMYFUNCTION("""COMPUTED_VALUE"""),"ไม่ผ่านการประชุมขากกองฯ")</f>
        <v>ไม่ผ่านการประชุมขากกองฯ</v>
      </c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</row>
    <row r="27" spans="1:25" ht="18.75" hidden="1">
      <c r="A27" s="121"/>
      <c r="B27" s="121"/>
      <c r="C27" s="121"/>
      <c r="D27" s="121"/>
      <c r="E27" s="121"/>
      <c r="F27" s="46"/>
      <c r="G27" s="121"/>
      <c r="H27" s="24"/>
      <c r="I27" s="24"/>
      <c r="J27" s="121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spans="1:25" ht="18.75" hidden="1">
      <c r="A28" s="121"/>
      <c r="B28" s="121"/>
      <c r="C28" s="121"/>
      <c r="D28" s="121"/>
      <c r="E28" s="121"/>
      <c r="F28" s="46"/>
      <c r="G28" s="121"/>
      <c r="H28" s="121"/>
      <c r="I28" s="121"/>
      <c r="J28" s="121"/>
      <c r="K28" s="121"/>
      <c r="L28" s="121"/>
      <c r="M28" s="121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spans="1:25" ht="18.75" hidden="1">
      <c r="A29" s="121"/>
      <c r="B29" s="121"/>
      <c r="C29" s="121"/>
      <c r="D29" s="121"/>
      <c r="E29" s="121"/>
      <c r="F29" s="46"/>
      <c r="G29" s="121"/>
      <c r="H29" s="121"/>
      <c r="I29" s="121"/>
      <c r="J29" s="121"/>
      <c r="K29" s="121"/>
      <c r="L29" s="121"/>
      <c r="M29" s="121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ht="18.75" hidden="1">
      <c r="A30" s="121"/>
      <c r="B30" s="121"/>
      <c r="C30" s="121"/>
      <c r="D30" s="121"/>
      <c r="E30" s="121"/>
      <c r="F30" s="46"/>
      <c r="G30" s="121"/>
      <c r="H30" s="121"/>
      <c r="I30" s="121"/>
      <c r="J30" s="121"/>
      <c r="K30" s="121"/>
      <c r="L30" s="121"/>
      <c r="M30" s="121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ht="18.75" hidden="1">
      <c r="A31" s="121"/>
      <c r="B31" s="121"/>
      <c r="C31" s="121"/>
      <c r="D31" s="121"/>
      <c r="E31" s="121"/>
      <c r="F31" s="46"/>
      <c r="G31" s="121"/>
      <c r="H31" s="121"/>
      <c r="I31" s="121"/>
      <c r="J31" s="121"/>
      <c r="K31" s="121"/>
      <c r="L31" s="121"/>
      <c r="M31" s="121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1:25" ht="18.75" hidden="1">
      <c r="A32" s="121"/>
      <c r="B32" s="121"/>
      <c r="C32" s="121"/>
      <c r="D32" s="121"/>
      <c r="E32" s="121"/>
      <c r="F32" s="46"/>
      <c r="G32" s="121"/>
      <c r="H32" s="121"/>
      <c r="I32" s="121"/>
      <c r="J32" s="121"/>
      <c r="K32" s="121"/>
      <c r="L32" s="121"/>
      <c r="M32" s="121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1:25" ht="18.75" hidden="1">
      <c r="A33" s="121"/>
      <c r="B33" s="121"/>
      <c r="C33" s="121"/>
      <c r="D33" s="121"/>
      <c r="E33" s="121"/>
      <c r="F33" s="46"/>
      <c r="G33" s="121"/>
      <c r="H33" s="121"/>
      <c r="I33" s="121"/>
      <c r="J33" s="121"/>
      <c r="K33" s="121"/>
      <c r="L33" s="121"/>
      <c r="M33" s="121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1:25" ht="18.75" hidden="1">
      <c r="A34" s="121"/>
      <c r="B34" s="121"/>
      <c r="C34" s="121"/>
      <c r="D34" s="121"/>
      <c r="E34" s="121"/>
      <c r="F34" s="46"/>
      <c r="G34" s="121"/>
      <c r="H34" s="121"/>
      <c r="I34" s="121"/>
      <c r="J34" s="121"/>
      <c r="K34" s="121"/>
      <c r="L34" s="121"/>
      <c r="M34" s="121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ht="18.75" hidden="1">
      <c r="A35" s="121"/>
      <c r="B35" s="121"/>
      <c r="C35" s="121"/>
      <c r="D35" s="121"/>
      <c r="E35" s="121"/>
      <c r="F35" s="46"/>
      <c r="G35" s="121"/>
      <c r="H35" s="121"/>
      <c r="I35" s="121"/>
      <c r="J35" s="121"/>
      <c r="K35" s="121"/>
      <c r="L35" s="121"/>
      <c r="M35" s="1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25" ht="18.75" hidden="1">
      <c r="A36" s="121"/>
      <c r="B36" s="121"/>
      <c r="C36" s="121"/>
      <c r="D36" s="121"/>
      <c r="E36" s="121"/>
      <c r="F36" s="46"/>
      <c r="G36" s="121"/>
      <c r="H36" s="121"/>
      <c r="I36" s="121"/>
      <c r="J36" s="121"/>
      <c r="K36" s="121"/>
      <c r="L36" s="121"/>
      <c r="M36" s="121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25" ht="18.75" hidden="1">
      <c r="A37" s="121"/>
      <c r="B37" s="121"/>
      <c r="C37" s="121"/>
      <c r="D37" s="121"/>
      <c r="E37" s="121"/>
      <c r="F37" s="46"/>
      <c r="G37" s="121"/>
      <c r="H37" s="121"/>
      <c r="I37" s="121"/>
      <c r="J37" s="121"/>
      <c r="K37" s="121"/>
      <c r="L37" s="121"/>
      <c r="M37" s="121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5" ht="18.75" hidden="1">
      <c r="A38" s="121"/>
      <c r="B38" s="121"/>
      <c r="C38" s="121"/>
      <c r="D38" s="121"/>
      <c r="E38" s="121"/>
      <c r="F38" s="46"/>
      <c r="G38" s="121"/>
      <c r="H38" s="121"/>
      <c r="I38" s="121"/>
      <c r="J38" s="121"/>
      <c r="K38" s="121"/>
      <c r="L38" s="121"/>
      <c r="M38" s="121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5" ht="18.75" hidden="1">
      <c r="A39" s="121"/>
      <c r="B39" s="121"/>
      <c r="C39" s="121"/>
      <c r="D39" s="121"/>
      <c r="E39" s="121"/>
      <c r="F39" s="46"/>
      <c r="G39" s="121"/>
      <c r="H39" s="121"/>
      <c r="I39" s="121"/>
      <c r="J39" s="121"/>
      <c r="K39" s="121"/>
      <c r="L39" s="121"/>
      <c r="M39" s="121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spans="1:25" ht="18.75" hidden="1">
      <c r="A40" s="121"/>
      <c r="B40" s="121"/>
      <c r="C40" s="121"/>
      <c r="D40" s="121"/>
      <c r="E40" s="121"/>
      <c r="F40" s="46"/>
      <c r="G40" s="121"/>
      <c r="H40" s="121"/>
      <c r="I40" s="121"/>
      <c r="J40" s="121"/>
      <c r="K40" s="121"/>
      <c r="L40" s="121"/>
      <c r="M40" s="121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spans="1:25" ht="18.75" hidden="1">
      <c r="A41" s="121"/>
      <c r="B41" s="121"/>
      <c r="C41" s="121"/>
      <c r="D41" s="121"/>
      <c r="E41" s="121"/>
      <c r="F41" s="46"/>
      <c r="G41" s="121"/>
      <c r="H41" s="121"/>
      <c r="I41" s="121"/>
      <c r="J41" s="121"/>
      <c r="K41" s="121"/>
      <c r="L41" s="121"/>
      <c r="M41" s="121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spans="1:25" ht="18.75" hidden="1">
      <c r="A42" s="121"/>
      <c r="B42" s="121"/>
      <c r="C42" s="121"/>
      <c r="D42" s="121"/>
      <c r="E42" s="121"/>
      <c r="F42" s="46"/>
      <c r="G42" s="121"/>
      <c r="H42" s="121"/>
      <c r="I42" s="121"/>
      <c r="J42" s="121"/>
      <c r="K42" s="121"/>
      <c r="L42" s="121"/>
      <c r="M42" s="121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3" spans="1:25" ht="18.75" hidden="1">
      <c r="A43" s="121"/>
      <c r="B43" s="121"/>
      <c r="C43" s="121"/>
      <c r="D43" s="121"/>
      <c r="E43" s="121"/>
      <c r="F43" s="46"/>
      <c r="G43" s="121"/>
      <c r="H43" s="121"/>
      <c r="I43" s="121"/>
      <c r="J43" s="121"/>
      <c r="K43" s="121"/>
      <c r="L43" s="121"/>
      <c r="M43" s="121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4" spans="1:25" ht="18.75" hidden="1">
      <c r="A44" s="121"/>
      <c r="B44" s="121"/>
      <c r="C44" s="121"/>
      <c r="D44" s="121"/>
      <c r="E44" s="121"/>
      <c r="F44" s="46"/>
      <c r="G44" s="121"/>
      <c r="H44" s="121"/>
      <c r="I44" s="121"/>
      <c r="J44" s="121"/>
      <c r="K44" s="121"/>
      <c r="L44" s="121"/>
      <c r="M44" s="121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</row>
    <row r="45" spans="1:25" ht="18.75" hidden="1">
      <c r="A45" s="121"/>
      <c r="B45" s="121"/>
      <c r="C45" s="121"/>
      <c r="D45" s="121"/>
      <c r="E45" s="121"/>
      <c r="F45" s="46"/>
      <c r="G45" s="121"/>
      <c r="H45" s="121"/>
      <c r="I45" s="121"/>
      <c r="J45" s="121"/>
      <c r="K45" s="121"/>
      <c r="L45" s="121"/>
      <c r="M45" s="121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1:25" ht="18.75" hidden="1">
      <c r="A46" s="121"/>
      <c r="B46" s="121"/>
      <c r="C46" s="121"/>
      <c r="D46" s="121"/>
      <c r="E46" s="121"/>
      <c r="F46" s="46"/>
      <c r="G46" s="121"/>
      <c r="H46" s="121"/>
      <c r="I46" s="121"/>
      <c r="J46" s="121"/>
      <c r="K46" s="121"/>
      <c r="L46" s="121"/>
      <c r="M46" s="121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1:25" ht="18.75" hidden="1">
      <c r="A47" s="121"/>
      <c r="B47" s="121"/>
      <c r="C47" s="121"/>
      <c r="D47" s="121"/>
      <c r="E47" s="121"/>
      <c r="F47" s="46"/>
      <c r="G47" s="121"/>
      <c r="H47" s="121"/>
      <c r="I47" s="121"/>
      <c r="J47" s="121"/>
      <c r="K47" s="121"/>
      <c r="L47" s="121"/>
      <c r="M47" s="121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spans="1:25" ht="18.75" hidden="1">
      <c r="A48" s="121"/>
      <c r="B48" s="121"/>
      <c r="C48" s="121"/>
      <c r="D48" s="121"/>
      <c r="E48" s="121"/>
      <c r="F48" s="46"/>
      <c r="G48" s="121"/>
      <c r="H48" s="121"/>
      <c r="I48" s="121"/>
      <c r="J48" s="121"/>
      <c r="K48" s="121"/>
      <c r="L48" s="121"/>
      <c r="M48" s="121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:25" ht="18.75" hidden="1">
      <c r="A49" s="121"/>
      <c r="B49" s="121"/>
      <c r="C49" s="121"/>
      <c r="D49" s="121"/>
      <c r="E49" s="121"/>
      <c r="F49" s="46"/>
      <c r="G49" s="121"/>
      <c r="H49" s="24"/>
      <c r="I49" s="24"/>
      <c r="J49" s="121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0" spans="1:25" ht="18.75">
      <c r="A50" s="528" t="s">
        <v>2848</v>
      </c>
      <c r="B50" s="499"/>
      <c r="C50" s="499"/>
      <c r="D50" s="499"/>
      <c r="E50" s="499"/>
      <c r="F50" s="263"/>
      <c r="G50" s="264" t="s">
        <v>2762</v>
      </c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</row>
    <row r="51" spans="1:25" ht="18.75">
      <c r="A51" s="274" t="str">
        <f ca="1">IFERROR(__xludf.DUMMYFUNCTION("FILTER('52-60'!A:N,'52-60'!A:A=A50)"),"#N/A")</f>
        <v>#N/A</v>
      </c>
      <c r="B51" s="121"/>
      <c r="C51" s="121"/>
      <c r="D51" s="121"/>
      <c r="E51" s="121"/>
      <c r="F51" s="24"/>
      <c r="G51" s="121"/>
      <c r="H51" s="24"/>
      <c r="I51" s="24"/>
      <c r="J51" s="121"/>
      <c r="K51" s="24"/>
      <c r="L51" s="24"/>
      <c r="M51" s="24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</row>
    <row r="52" spans="1:25" ht="18.75" hidden="1">
      <c r="A52" s="121"/>
      <c r="B52" s="121"/>
      <c r="C52" s="121"/>
      <c r="D52" s="121"/>
      <c r="E52" s="121"/>
      <c r="F52" s="24"/>
      <c r="G52" s="121"/>
      <c r="H52" s="24"/>
      <c r="I52" s="24"/>
      <c r="J52" s="121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  <row r="53" spans="1:25" ht="18.75" hidden="1">
      <c r="A53" s="121"/>
      <c r="B53" s="121"/>
      <c r="C53" s="121"/>
      <c r="D53" s="121"/>
      <c r="E53" s="121"/>
      <c r="F53" s="24"/>
      <c r="G53" s="121"/>
      <c r="H53" s="24"/>
      <c r="I53" s="24"/>
      <c r="J53" s="121"/>
      <c r="K53" s="24"/>
      <c r="L53" s="24"/>
      <c r="M53" s="24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</row>
    <row r="54" spans="1:25" ht="18.75" hidden="1">
      <c r="A54" s="121"/>
      <c r="B54" s="121"/>
      <c r="C54" s="121"/>
      <c r="D54" s="121"/>
      <c r="E54" s="121"/>
      <c r="F54" s="24"/>
      <c r="G54" s="121"/>
      <c r="H54" s="24"/>
      <c r="I54" s="24"/>
      <c r="J54" s="121"/>
      <c r="K54" s="24"/>
      <c r="L54" s="24"/>
      <c r="M54" s="24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</row>
    <row r="55" spans="1:25" ht="18.75" hidden="1">
      <c r="A55" s="121"/>
      <c r="B55" s="121"/>
      <c r="C55" s="121"/>
      <c r="D55" s="121"/>
      <c r="E55" s="121"/>
      <c r="F55" s="24"/>
      <c r="G55" s="121"/>
      <c r="H55" s="24"/>
      <c r="I55" s="24"/>
      <c r="J55" s="121"/>
      <c r="K55" s="24"/>
      <c r="L55" s="24"/>
      <c r="M55" s="24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</row>
    <row r="56" spans="1:25" ht="18.75" hidden="1">
      <c r="A56" s="121"/>
      <c r="B56" s="121"/>
      <c r="C56" s="121"/>
      <c r="D56" s="121"/>
      <c r="E56" s="121"/>
      <c r="F56" s="24"/>
      <c r="G56" s="121"/>
      <c r="H56" s="24"/>
      <c r="I56" s="24"/>
      <c r="J56" s="121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</row>
    <row r="57" spans="1:25" ht="18.75" hidden="1">
      <c r="A57" s="121"/>
      <c r="B57" s="121"/>
      <c r="C57" s="121"/>
      <c r="D57" s="121"/>
      <c r="E57" s="121"/>
      <c r="F57" s="24"/>
      <c r="G57" s="121"/>
      <c r="H57" s="24"/>
      <c r="I57" s="24"/>
      <c r="J57" s="121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</row>
    <row r="58" spans="1:25" ht="18.75" hidden="1">
      <c r="A58" s="121"/>
      <c r="B58" s="121"/>
      <c r="C58" s="121"/>
      <c r="D58" s="121"/>
      <c r="E58" s="121"/>
      <c r="F58" s="24"/>
      <c r="G58" s="121"/>
      <c r="H58" s="24"/>
      <c r="I58" s="24"/>
      <c r="J58" s="121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59" spans="1:25" ht="18.75" hidden="1">
      <c r="A59" s="121"/>
      <c r="B59" s="121"/>
      <c r="C59" s="121"/>
      <c r="D59" s="121"/>
      <c r="E59" s="121"/>
      <c r="F59" s="24"/>
      <c r="G59" s="121"/>
      <c r="H59" s="24"/>
      <c r="I59" s="24"/>
      <c r="J59" s="121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0" spans="1:25" ht="18.75" hidden="1">
      <c r="A60" s="121"/>
      <c r="B60" s="121"/>
      <c r="C60" s="121"/>
      <c r="D60" s="121"/>
      <c r="E60" s="121"/>
      <c r="F60" s="24"/>
      <c r="G60" s="121"/>
      <c r="H60" s="24"/>
      <c r="I60" s="24"/>
      <c r="J60" s="121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spans="1:25" ht="18.75">
      <c r="A61" s="528" t="s">
        <v>2859</v>
      </c>
      <c r="B61" s="499"/>
      <c r="C61" s="499"/>
      <c r="D61" s="499"/>
      <c r="E61" s="499"/>
      <c r="F61" s="263"/>
      <c r="G61" s="264" t="s">
        <v>2762</v>
      </c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</row>
    <row r="62" spans="1:25" ht="18.75">
      <c r="A62" s="274" t="str">
        <f ca="1">IFERROR(__xludf.DUMMYFUNCTION("FILTER('52-60'!A:N,'52-60'!A:A=A61)"),"#N/A")</f>
        <v>#N/A</v>
      </c>
      <c r="B62" s="121"/>
      <c r="C62" s="121"/>
      <c r="D62" s="121"/>
      <c r="E62" s="121"/>
      <c r="F62" s="24"/>
      <c r="G62" s="121"/>
      <c r="H62" s="24"/>
      <c r="I62" s="24"/>
      <c r="J62" s="121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</row>
    <row r="63" spans="1:25" ht="18.75" hidden="1">
      <c r="A63" s="121"/>
      <c r="B63" s="121"/>
      <c r="C63" s="121"/>
      <c r="D63" s="121"/>
      <c r="E63" s="121"/>
      <c r="F63" s="24"/>
      <c r="G63" s="121"/>
      <c r="H63" s="24"/>
      <c r="I63" s="24"/>
      <c r="J63" s="121"/>
      <c r="K63" s="24"/>
      <c r="L63" s="24"/>
      <c r="M63" s="24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</row>
    <row r="64" spans="1:25" ht="18.75" hidden="1">
      <c r="A64" s="121"/>
      <c r="B64" s="121"/>
      <c r="C64" s="121"/>
      <c r="D64" s="121"/>
      <c r="E64" s="121"/>
      <c r="F64" s="24"/>
      <c r="G64" s="121"/>
      <c r="H64" s="24"/>
      <c r="I64" s="24"/>
      <c r="J64" s="121"/>
      <c r="K64" s="24"/>
      <c r="L64" s="24"/>
      <c r="M64" s="24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</row>
    <row r="65" spans="1:25" ht="18.75" hidden="1">
      <c r="A65" s="121"/>
      <c r="B65" s="121"/>
      <c r="C65" s="121"/>
      <c r="D65" s="121"/>
      <c r="E65" s="121"/>
      <c r="F65" s="24"/>
      <c r="G65" s="121"/>
      <c r="H65" s="24"/>
      <c r="I65" s="24"/>
      <c r="J65" s="121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</row>
    <row r="66" spans="1:25" ht="18.75" hidden="1">
      <c r="A66" s="121"/>
      <c r="B66" s="121"/>
      <c r="C66" s="121"/>
      <c r="D66" s="121"/>
      <c r="E66" s="121"/>
      <c r="F66" s="24"/>
      <c r="G66" s="121"/>
      <c r="H66" s="24"/>
      <c r="I66" s="24"/>
      <c r="J66" s="121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</row>
    <row r="67" spans="1:25" ht="18.75" hidden="1">
      <c r="A67" s="121"/>
      <c r="B67" s="121"/>
      <c r="C67" s="121"/>
      <c r="D67" s="121"/>
      <c r="E67" s="121"/>
      <c r="F67" s="24"/>
      <c r="G67" s="121"/>
      <c r="H67" s="24"/>
      <c r="I67" s="24"/>
      <c r="J67" s="121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</row>
    <row r="68" spans="1:25" ht="18.75" hidden="1">
      <c r="A68" s="121"/>
      <c r="B68" s="121"/>
      <c r="C68" s="121"/>
      <c r="D68" s="121"/>
      <c r="E68" s="121"/>
      <c r="F68" s="24"/>
      <c r="G68" s="121"/>
      <c r="H68" s="24"/>
      <c r="I68" s="24"/>
      <c r="J68" s="121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</row>
    <row r="69" spans="1:25" ht="18.75" hidden="1">
      <c r="A69" s="121"/>
      <c r="B69" s="121"/>
      <c r="C69" s="121"/>
      <c r="D69" s="121"/>
      <c r="E69" s="121"/>
      <c r="F69" s="24"/>
      <c r="G69" s="121"/>
      <c r="H69" s="24"/>
      <c r="I69" s="24"/>
      <c r="J69" s="121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</row>
    <row r="70" spans="1:25" ht="18.75" hidden="1">
      <c r="A70" s="121"/>
      <c r="B70" s="121"/>
      <c r="C70" s="121"/>
      <c r="D70" s="121"/>
      <c r="E70" s="121"/>
      <c r="F70" s="24"/>
      <c r="G70" s="121"/>
      <c r="H70" s="24"/>
      <c r="I70" s="24"/>
      <c r="J70" s="121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</row>
    <row r="71" spans="1:25" ht="18.75" hidden="1">
      <c r="A71" s="121"/>
      <c r="B71" s="121"/>
      <c r="C71" s="121"/>
      <c r="D71" s="121"/>
      <c r="E71" s="121"/>
      <c r="F71" s="24"/>
      <c r="G71" s="121"/>
      <c r="H71" s="24"/>
      <c r="I71" s="24"/>
      <c r="J71" s="121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</row>
    <row r="72" spans="1:25" ht="18.75">
      <c r="A72" s="528" t="s">
        <v>72</v>
      </c>
      <c r="B72" s="499"/>
      <c r="C72" s="499"/>
      <c r="D72" s="499"/>
      <c r="E72" s="499"/>
      <c r="F72" s="263"/>
      <c r="G72" s="264" t="s">
        <v>2762</v>
      </c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</row>
    <row r="73" spans="1:25" ht="18.75">
      <c r="A73" s="274" t="str">
        <f ca="1">IFERROR(__xludf.DUMMYFUNCTION("FILTER('52-60'!A:N,'52-60'!A:A=A72)"),"#N/A")</f>
        <v>#N/A</v>
      </c>
      <c r="B73" s="121"/>
      <c r="C73" s="121"/>
      <c r="D73" s="121"/>
      <c r="E73" s="121"/>
      <c r="F73" s="24"/>
      <c r="G73" s="121"/>
      <c r="H73" s="24"/>
      <c r="I73" s="24"/>
      <c r="J73" s="121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  <row r="74" spans="1:25" ht="18.75">
      <c r="A74" s="121"/>
      <c r="B74" s="121"/>
      <c r="C74" s="121"/>
      <c r="D74" s="121"/>
      <c r="E74" s="121"/>
      <c r="F74" s="24"/>
      <c r="G74" s="121"/>
      <c r="H74" s="24"/>
      <c r="I74" s="24"/>
      <c r="J74" s="121"/>
      <c r="K74" s="24"/>
      <c r="L74" s="24"/>
      <c r="M74" s="24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</row>
    <row r="75" spans="1:25" ht="18.75">
      <c r="A75" s="121"/>
      <c r="B75" s="121"/>
      <c r="C75" s="121"/>
      <c r="D75" s="121"/>
      <c r="E75" s="121"/>
      <c r="F75" s="24"/>
      <c r="G75" s="121"/>
      <c r="H75" s="24"/>
      <c r="I75" s="24"/>
      <c r="J75" s="121"/>
      <c r="K75" s="24"/>
      <c r="L75" s="24"/>
      <c r="M75" s="24"/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265"/>
    </row>
    <row r="76" spans="1:25" ht="18.75">
      <c r="A76" s="121"/>
      <c r="B76" s="121"/>
      <c r="C76" s="121"/>
      <c r="D76" s="121"/>
      <c r="E76" s="121"/>
      <c r="F76" s="24"/>
      <c r="G76" s="121"/>
      <c r="H76" s="24"/>
      <c r="I76" s="24"/>
      <c r="J76" s="121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</row>
    <row r="77" spans="1:25" ht="18.75">
      <c r="A77" s="121"/>
      <c r="B77" s="121"/>
      <c r="C77" s="121"/>
      <c r="D77" s="121"/>
      <c r="E77" s="121"/>
      <c r="F77" s="24"/>
      <c r="G77" s="121"/>
      <c r="H77" s="24"/>
      <c r="I77" s="24"/>
      <c r="J77" s="121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8" spans="1:25" ht="18.75">
      <c r="A78" s="121"/>
      <c r="B78" s="121"/>
      <c r="C78" s="121"/>
      <c r="D78" s="121"/>
      <c r="E78" s="121"/>
      <c r="F78" s="24"/>
      <c r="G78" s="121"/>
      <c r="H78" s="24"/>
      <c r="I78" s="24"/>
      <c r="J78" s="121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</row>
    <row r="79" spans="1:25" ht="18.75">
      <c r="A79" s="121"/>
      <c r="B79" s="121"/>
      <c r="C79" s="121"/>
      <c r="D79" s="121"/>
      <c r="E79" s="121"/>
      <c r="F79" s="24"/>
      <c r="G79" s="121"/>
      <c r="H79" s="24"/>
      <c r="I79" s="24"/>
      <c r="J79" s="121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spans="1:25" ht="18.75">
      <c r="A80" s="121"/>
      <c r="B80" s="121"/>
      <c r="C80" s="121"/>
      <c r="D80" s="121"/>
      <c r="E80" s="121"/>
      <c r="F80" s="24"/>
      <c r="G80" s="121"/>
      <c r="H80" s="24"/>
      <c r="I80" s="24"/>
      <c r="J80" s="121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</row>
    <row r="81" spans="1:25" ht="18.75">
      <c r="A81" s="121"/>
      <c r="B81" s="121"/>
      <c r="C81" s="121"/>
      <c r="D81" s="121"/>
      <c r="E81" s="121"/>
      <c r="F81" s="24"/>
      <c r="G81" s="121"/>
      <c r="H81" s="24"/>
      <c r="I81" s="24"/>
      <c r="J81" s="121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</row>
    <row r="82" spans="1:25" ht="18.75">
      <c r="A82" s="121"/>
      <c r="B82" s="121"/>
      <c r="C82" s="121"/>
      <c r="D82" s="121"/>
      <c r="E82" s="121"/>
      <c r="F82" s="24"/>
      <c r="G82" s="121"/>
      <c r="H82" s="24"/>
      <c r="I82" s="24"/>
      <c r="J82" s="121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</row>
    <row r="83" spans="1:25" ht="18.75">
      <c r="A83" s="121"/>
      <c r="B83" s="121"/>
      <c r="C83" s="121"/>
      <c r="D83" s="121"/>
      <c r="E83" s="121"/>
      <c r="F83" s="24"/>
      <c r="G83" s="121"/>
      <c r="H83" s="24"/>
      <c r="I83" s="24"/>
      <c r="J83" s="121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</row>
    <row r="84" spans="1:25" ht="18.75">
      <c r="A84" s="121"/>
      <c r="B84" s="121"/>
      <c r="C84" s="121"/>
      <c r="D84" s="121"/>
      <c r="E84" s="121"/>
      <c r="F84" s="24"/>
      <c r="G84" s="121"/>
      <c r="H84" s="24"/>
      <c r="I84" s="24"/>
      <c r="J84" s="121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</row>
    <row r="85" spans="1:25" ht="18.75">
      <c r="A85" s="121"/>
      <c r="B85" s="121"/>
      <c r="C85" s="121"/>
      <c r="D85" s="121"/>
      <c r="E85" s="121"/>
      <c r="F85" s="24"/>
      <c r="G85" s="121"/>
      <c r="H85" s="24"/>
      <c r="I85" s="24"/>
      <c r="J85" s="121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</row>
    <row r="86" spans="1:25" ht="18.75">
      <c r="A86" s="121"/>
      <c r="B86" s="121"/>
      <c r="C86" s="121"/>
      <c r="D86" s="121"/>
      <c r="E86" s="121"/>
      <c r="F86" s="24"/>
      <c r="G86" s="121"/>
      <c r="H86" s="24"/>
      <c r="I86" s="24"/>
      <c r="J86" s="121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</row>
    <row r="87" spans="1:25" ht="18.75">
      <c r="A87" s="121"/>
      <c r="B87" s="121"/>
      <c r="C87" s="121"/>
      <c r="D87" s="121"/>
      <c r="E87" s="121"/>
      <c r="F87" s="24"/>
      <c r="G87" s="121"/>
      <c r="H87" s="24"/>
      <c r="I87" s="24"/>
      <c r="J87" s="121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</row>
    <row r="88" spans="1:25" ht="18.75">
      <c r="A88" s="121"/>
      <c r="B88" s="121"/>
      <c r="C88" s="121"/>
      <c r="D88" s="121"/>
      <c r="E88" s="121"/>
      <c r="F88" s="24"/>
      <c r="G88" s="121"/>
      <c r="H88" s="24"/>
      <c r="I88" s="24"/>
      <c r="J88" s="121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</row>
    <row r="89" spans="1:25" ht="18.75">
      <c r="A89" s="121"/>
      <c r="B89" s="121"/>
      <c r="C89" s="121"/>
      <c r="D89" s="121"/>
      <c r="E89" s="121"/>
      <c r="F89" s="24"/>
      <c r="G89" s="121"/>
      <c r="H89" s="24"/>
      <c r="I89" s="24"/>
      <c r="J89" s="121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5" ht="18.75">
      <c r="A90" s="121"/>
      <c r="B90" s="121"/>
      <c r="C90" s="121"/>
      <c r="D90" s="121"/>
      <c r="E90" s="121"/>
      <c r="F90" s="24"/>
      <c r="G90" s="121"/>
      <c r="H90" s="24"/>
      <c r="I90" s="24"/>
      <c r="J90" s="121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</row>
    <row r="91" spans="1:25" ht="18.75">
      <c r="A91" s="121"/>
      <c r="B91" s="121"/>
      <c r="C91" s="121"/>
      <c r="D91" s="121"/>
      <c r="E91" s="121"/>
      <c r="F91" s="24"/>
      <c r="G91" s="121"/>
      <c r="H91" s="24"/>
      <c r="I91" s="24"/>
      <c r="J91" s="121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</row>
    <row r="92" spans="1:25" ht="18.75">
      <c r="A92" s="121"/>
      <c r="B92" s="121"/>
      <c r="C92" s="121"/>
      <c r="D92" s="121"/>
      <c r="E92" s="121"/>
      <c r="F92" s="24"/>
      <c r="G92" s="121"/>
      <c r="H92" s="24"/>
      <c r="I92" s="24"/>
      <c r="J92" s="121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</row>
    <row r="93" spans="1:25" ht="18.75">
      <c r="A93" s="121"/>
      <c r="B93" s="121"/>
      <c r="C93" s="121"/>
      <c r="D93" s="121"/>
      <c r="E93" s="121"/>
      <c r="F93" s="24"/>
      <c r="G93" s="121"/>
      <c r="H93" s="24"/>
      <c r="I93" s="24"/>
      <c r="J93" s="121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</row>
    <row r="94" spans="1:25" ht="18.75">
      <c r="A94" s="121"/>
      <c r="B94" s="121"/>
      <c r="C94" s="121"/>
      <c r="D94" s="121"/>
      <c r="E94" s="121"/>
      <c r="F94" s="24"/>
      <c r="G94" s="121"/>
      <c r="H94" s="24"/>
      <c r="I94" s="24"/>
      <c r="J94" s="121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</row>
    <row r="95" spans="1:25" ht="18.75">
      <c r="A95" s="121"/>
      <c r="B95" s="121"/>
      <c r="C95" s="121"/>
      <c r="D95" s="121"/>
      <c r="E95" s="121"/>
      <c r="F95" s="24"/>
      <c r="G95" s="121"/>
      <c r="H95" s="24"/>
      <c r="I95" s="24"/>
      <c r="J95" s="121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</row>
    <row r="96" spans="1:25" ht="18.75">
      <c r="A96" s="121"/>
      <c r="B96" s="121"/>
      <c r="C96" s="121"/>
      <c r="D96" s="121"/>
      <c r="E96" s="121"/>
      <c r="F96" s="24"/>
      <c r="G96" s="121"/>
      <c r="H96" s="24"/>
      <c r="I96" s="24"/>
      <c r="J96" s="121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</row>
    <row r="97" spans="1:25" ht="18.75">
      <c r="A97" s="121"/>
      <c r="B97" s="121"/>
      <c r="C97" s="121"/>
      <c r="D97" s="121"/>
      <c r="E97" s="121"/>
      <c r="F97" s="24"/>
      <c r="G97" s="121"/>
      <c r="H97" s="24"/>
      <c r="I97" s="24"/>
      <c r="J97" s="121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</row>
    <row r="98" spans="1:25" ht="18.75">
      <c r="A98" s="121"/>
      <c r="B98" s="121"/>
      <c r="C98" s="121"/>
      <c r="D98" s="121"/>
      <c r="E98" s="121"/>
      <c r="F98" s="24"/>
      <c r="G98" s="121"/>
      <c r="H98" s="24"/>
      <c r="I98" s="24"/>
      <c r="J98" s="121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</row>
    <row r="99" spans="1:25" ht="18.75">
      <c r="A99" s="121"/>
      <c r="B99" s="121"/>
      <c r="C99" s="121"/>
      <c r="D99" s="121"/>
      <c r="E99" s="121"/>
      <c r="F99" s="24"/>
      <c r="G99" s="121"/>
      <c r="H99" s="24"/>
      <c r="I99" s="24"/>
      <c r="J99" s="121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</row>
    <row r="100" spans="1:25" ht="18.75">
      <c r="A100" s="121"/>
      <c r="B100" s="121"/>
      <c r="C100" s="121"/>
      <c r="D100" s="121"/>
      <c r="E100" s="121"/>
      <c r="F100" s="24"/>
      <c r="G100" s="121"/>
      <c r="H100" s="24"/>
      <c r="I100" s="24"/>
      <c r="J100" s="121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</row>
    <row r="101" spans="1:25" ht="18.75">
      <c r="A101" s="121"/>
      <c r="B101" s="121"/>
      <c r="C101" s="121"/>
      <c r="D101" s="121"/>
      <c r="E101" s="121"/>
      <c r="F101" s="24"/>
      <c r="G101" s="121"/>
      <c r="H101" s="24"/>
      <c r="I101" s="24"/>
      <c r="J101" s="121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</row>
    <row r="102" spans="1:25" ht="18.75">
      <c r="A102" s="121"/>
      <c r="B102" s="121"/>
      <c r="C102" s="121"/>
      <c r="D102" s="121"/>
      <c r="E102" s="121"/>
      <c r="F102" s="24"/>
      <c r="G102" s="121"/>
      <c r="H102" s="24"/>
      <c r="I102" s="24"/>
      <c r="J102" s="121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</row>
    <row r="103" spans="1:25" ht="18.75" hidden="1">
      <c r="A103" s="121"/>
      <c r="B103" s="121"/>
      <c r="C103" s="121"/>
      <c r="D103" s="121"/>
      <c r="E103" s="121"/>
      <c r="F103" s="24"/>
      <c r="G103" s="121"/>
      <c r="H103" s="24"/>
      <c r="I103" s="24"/>
      <c r="J103" s="121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</row>
    <row r="104" spans="1:25" ht="18.75" hidden="1">
      <c r="A104" s="121"/>
      <c r="B104" s="121"/>
      <c r="C104" s="121"/>
      <c r="D104" s="121"/>
      <c r="E104" s="121"/>
      <c r="F104" s="24"/>
      <c r="G104" s="121"/>
      <c r="H104" s="24"/>
      <c r="I104" s="24"/>
      <c r="J104" s="121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ht="18.75" hidden="1">
      <c r="A105" s="121"/>
      <c r="B105" s="121"/>
      <c r="C105" s="121"/>
      <c r="D105" s="121"/>
      <c r="E105" s="121"/>
      <c r="F105" s="24"/>
      <c r="G105" s="121"/>
      <c r="H105" s="24"/>
      <c r="I105" s="24"/>
      <c r="J105" s="121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8.75" hidden="1">
      <c r="A106" s="121"/>
      <c r="B106" s="121"/>
      <c r="C106" s="121"/>
      <c r="D106" s="121"/>
      <c r="E106" s="121"/>
      <c r="F106" s="24"/>
      <c r="G106" s="121"/>
      <c r="H106" s="24"/>
      <c r="I106" s="24"/>
      <c r="J106" s="121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</row>
    <row r="107" spans="1:25" ht="18.75" hidden="1">
      <c r="A107" s="121"/>
      <c r="B107" s="121"/>
      <c r="C107" s="121"/>
      <c r="D107" s="121"/>
      <c r="E107" s="121"/>
      <c r="F107" s="24"/>
      <c r="G107" s="121"/>
      <c r="H107" s="24"/>
      <c r="I107" s="24"/>
      <c r="J107" s="121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</row>
    <row r="108" spans="1:25" ht="18.75" hidden="1">
      <c r="A108" s="121"/>
      <c r="B108" s="121"/>
      <c r="C108" s="121"/>
      <c r="D108" s="121"/>
      <c r="E108" s="121"/>
      <c r="F108" s="24"/>
      <c r="G108" s="121"/>
      <c r="H108" s="24"/>
      <c r="I108" s="24"/>
      <c r="J108" s="121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1:25" ht="18.75" hidden="1">
      <c r="A109" s="121"/>
      <c r="B109" s="121"/>
      <c r="C109" s="121"/>
      <c r="D109" s="121"/>
      <c r="E109" s="121"/>
      <c r="F109" s="24"/>
      <c r="G109" s="121"/>
      <c r="H109" s="24"/>
      <c r="I109" s="24"/>
      <c r="J109" s="121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</row>
    <row r="110" spans="1:25" ht="18.75" hidden="1">
      <c r="A110" s="121"/>
      <c r="B110" s="121"/>
      <c r="C110" s="121"/>
      <c r="D110" s="121"/>
      <c r="E110" s="121"/>
      <c r="F110" s="24"/>
      <c r="G110" s="121"/>
      <c r="H110" s="24"/>
      <c r="I110" s="24"/>
      <c r="J110" s="121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</row>
    <row r="111" spans="1:25" ht="18.75" hidden="1">
      <c r="A111" s="121"/>
      <c r="B111" s="121"/>
      <c r="C111" s="121"/>
      <c r="D111" s="121"/>
      <c r="E111" s="121"/>
      <c r="F111" s="24"/>
      <c r="G111" s="121"/>
      <c r="H111" s="24"/>
      <c r="I111" s="24"/>
      <c r="J111" s="121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</row>
    <row r="112" spans="1:25" ht="18.75" hidden="1">
      <c r="A112" s="121"/>
      <c r="B112" s="121"/>
      <c r="C112" s="121"/>
      <c r="D112" s="121"/>
      <c r="E112" s="121"/>
      <c r="F112" s="24"/>
      <c r="G112" s="121"/>
      <c r="H112" s="24"/>
      <c r="I112" s="24"/>
      <c r="J112" s="121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</row>
    <row r="113" spans="1:25" ht="18.75" hidden="1">
      <c r="A113" s="121"/>
      <c r="B113" s="121"/>
      <c r="C113" s="121"/>
      <c r="D113" s="121"/>
      <c r="E113" s="121"/>
      <c r="F113" s="24"/>
      <c r="G113" s="121"/>
      <c r="H113" s="24"/>
      <c r="I113" s="24"/>
      <c r="J113" s="121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</row>
    <row r="114" spans="1:25" ht="18.75" hidden="1">
      <c r="A114" s="121"/>
      <c r="B114" s="121"/>
      <c r="C114" s="121"/>
      <c r="D114" s="121"/>
      <c r="E114" s="121"/>
      <c r="F114" s="24"/>
      <c r="G114" s="121"/>
      <c r="H114" s="24"/>
      <c r="I114" s="24"/>
      <c r="J114" s="121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</row>
    <row r="115" spans="1:25" ht="18.75" hidden="1">
      <c r="A115" s="121"/>
      <c r="B115" s="121"/>
      <c r="C115" s="121"/>
      <c r="D115" s="121"/>
      <c r="E115" s="121"/>
      <c r="F115" s="24"/>
      <c r="G115" s="121"/>
      <c r="H115" s="24"/>
      <c r="I115" s="24"/>
      <c r="J115" s="121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</row>
    <row r="116" spans="1:25" ht="18.75">
      <c r="A116" s="121"/>
      <c r="B116" s="121"/>
      <c r="C116" s="121"/>
      <c r="D116" s="121"/>
      <c r="E116" s="121"/>
      <c r="F116" s="24"/>
      <c r="G116" s="121"/>
      <c r="H116" s="24"/>
      <c r="I116" s="24"/>
      <c r="J116" s="121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</row>
    <row r="117" spans="1:25" ht="18.75">
      <c r="A117" s="121"/>
      <c r="B117" s="121"/>
      <c r="C117" s="121"/>
      <c r="D117" s="121"/>
      <c r="E117" s="121"/>
      <c r="F117" s="24"/>
      <c r="G117" s="121"/>
      <c r="H117" s="24"/>
      <c r="I117" s="24"/>
      <c r="J117" s="121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</row>
    <row r="118" spans="1:25" ht="18.75">
      <c r="A118" s="121"/>
      <c r="B118" s="121"/>
      <c r="C118" s="121"/>
      <c r="D118" s="121"/>
      <c r="E118" s="121"/>
      <c r="F118" s="24"/>
      <c r="G118" s="121"/>
      <c r="H118" s="24"/>
      <c r="I118" s="24"/>
      <c r="J118" s="121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</row>
    <row r="119" spans="1:25" ht="18.75">
      <c r="A119" s="121"/>
      <c r="B119" s="121"/>
      <c r="C119" s="121"/>
      <c r="D119" s="121"/>
      <c r="E119" s="121"/>
      <c r="F119" s="24"/>
      <c r="G119" s="121"/>
      <c r="H119" s="24"/>
      <c r="I119" s="24"/>
      <c r="J119" s="121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</row>
    <row r="120" spans="1:25" ht="18.75">
      <c r="A120" s="121"/>
      <c r="B120" s="121"/>
      <c r="C120" s="121"/>
      <c r="D120" s="121"/>
      <c r="E120" s="121"/>
      <c r="F120" s="24"/>
      <c r="G120" s="121"/>
      <c r="H120" s="24"/>
      <c r="I120" s="24"/>
      <c r="J120" s="121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</row>
    <row r="121" spans="1:25" ht="18.75">
      <c r="A121" s="121"/>
      <c r="B121" s="121"/>
      <c r="C121" s="121"/>
      <c r="D121" s="121"/>
      <c r="E121" s="121"/>
      <c r="F121" s="24"/>
      <c r="G121" s="121"/>
      <c r="H121" s="24"/>
      <c r="I121" s="24"/>
      <c r="J121" s="121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</row>
    <row r="122" spans="1:25" ht="18.75">
      <c r="A122" s="121"/>
      <c r="B122" s="121"/>
      <c r="C122" s="121"/>
      <c r="D122" s="121"/>
      <c r="E122" s="121"/>
      <c r="F122" s="24"/>
      <c r="G122" s="121"/>
      <c r="H122" s="24"/>
      <c r="I122" s="24"/>
      <c r="J122" s="121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</row>
    <row r="123" spans="1:25" ht="18.75">
      <c r="A123" s="121"/>
      <c r="B123" s="121"/>
      <c r="C123" s="121"/>
      <c r="D123" s="121"/>
      <c r="E123" s="121"/>
      <c r="F123" s="24"/>
      <c r="G123" s="121"/>
      <c r="H123" s="24"/>
      <c r="I123" s="24"/>
      <c r="J123" s="121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</row>
    <row r="124" spans="1:25" ht="18.75">
      <c r="A124" s="121"/>
      <c r="B124" s="121"/>
      <c r="C124" s="121"/>
      <c r="D124" s="121"/>
      <c r="E124" s="121"/>
      <c r="F124" s="24"/>
      <c r="G124" s="121"/>
      <c r="H124" s="24"/>
      <c r="I124" s="24"/>
      <c r="J124" s="121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</row>
    <row r="125" spans="1:25" ht="18.75">
      <c r="A125" s="121"/>
      <c r="B125" s="121"/>
      <c r="C125" s="121"/>
      <c r="D125" s="121"/>
      <c r="E125" s="121"/>
      <c r="F125" s="24"/>
      <c r="G125" s="121"/>
      <c r="H125" s="24"/>
      <c r="I125" s="24"/>
      <c r="J125" s="121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</row>
    <row r="126" spans="1:25" ht="18.75">
      <c r="A126" s="121"/>
      <c r="B126" s="121"/>
      <c r="C126" s="121"/>
      <c r="D126" s="121"/>
      <c r="E126" s="121"/>
      <c r="F126" s="24"/>
      <c r="G126" s="121"/>
      <c r="H126" s="24"/>
      <c r="I126" s="24"/>
      <c r="J126" s="121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</row>
    <row r="127" spans="1:25" ht="18.75">
      <c r="A127" s="121"/>
      <c r="B127" s="121"/>
      <c r="C127" s="121"/>
      <c r="D127" s="121"/>
      <c r="E127" s="121"/>
      <c r="F127" s="24"/>
      <c r="G127" s="121"/>
      <c r="H127" s="24"/>
      <c r="I127" s="24"/>
      <c r="J127" s="121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ht="18.75">
      <c r="A128" s="121"/>
      <c r="B128" s="121"/>
      <c r="C128" s="121"/>
      <c r="D128" s="121"/>
      <c r="E128" s="121"/>
      <c r="F128" s="24"/>
      <c r="G128" s="121"/>
      <c r="H128" s="24"/>
      <c r="I128" s="24"/>
      <c r="J128" s="121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5" ht="18.75">
      <c r="A129" s="121"/>
      <c r="B129" s="121"/>
      <c r="C129" s="121"/>
      <c r="D129" s="121"/>
      <c r="E129" s="121"/>
      <c r="F129" s="24"/>
      <c r="G129" s="121"/>
      <c r="H129" s="24"/>
      <c r="I129" s="24"/>
      <c r="J129" s="121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</row>
    <row r="130" spans="1:25" ht="18.75">
      <c r="A130" s="121"/>
      <c r="B130" s="121"/>
      <c r="C130" s="121"/>
      <c r="D130" s="121"/>
      <c r="E130" s="121"/>
      <c r="F130" s="24"/>
      <c r="G130" s="121"/>
      <c r="H130" s="24"/>
      <c r="I130" s="24"/>
      <c r="J130" s="121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1:25" ht="18.75">
      <c r="A131" s="121"/>
      <c r="B131" s="121"/>
      <c r="C131" s="121"/>
      <c r="D131" s="121"/>
      <c r="E131" s="121"/>
      <c r="F131" s="24"/>
      <c r="G131" s="121"/>
      <c r="H131" s="24"/>
      <c r="I131" s="24"/>
      <c r="J131" s="121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</row>
    <row r="132" spans="1:25" ht="18.75">
      <c r="A132" s="121"/>
      <c r="B132" s="121"/>
      <c r="C132" s="121"/>
      <c r="D132" s="121"/>
      <c r="E132" s="121"/>
      <c r="F132" s="24"/>
      <c r="G132" s="121"/>
      <c r="H132" s="24"/>
      <c r="I132" s="24"/>
      <c r="J132" s="121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</row>
    <row r="133" spans="1:25" ht="18.75">
      <c r="A133" s="121"/>
      <c r="B133" s="121"/>
      <c r="C133" s="121"/>
      <c r="D133" s="121"/>
      <c r="E133" s="121"/>
      <c r="F133" s="24"/>
      <c r="G133" s="121"/>
      <c r="H133" s="24"/>
      <c r="I133" s="24"/>
      <c r="J133" s="121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</row>
    <row r="134" spans="1:25" ht="18.75">
      <c r="A134" s="121"/>
      <c r="B134" s="121"/>
      <c r="C134" s="121"/>
      <c r="D134" s="121"/>
      <c r="E134" s="121"/>
      <c r="F134" s="24"/>
      <c r="G134" s="121"/>
      <c r="H134" s="24"/>
      <c r="I134" s="24"/>
      <c r="J134" s="121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</row>
    <row r="135" spans="1:25" ht="18.75">
      <c r="A135" s="121"/>
      <c r="B135" s="121"/>
      <c r="C135" s="121"/>
      <c r="D135" s="121"/>
      <c r="E135" s="121"/>
      <c r="F135" s="24"/>
      <c r="G135" s="121"/>
      <c r="H135" s="24"/>
      <c r="I135" s="24"/>
      <c r="J135" s="121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</row>
    <row r="136" spans="1:25" ht="18.75">
      <c r="A136" s="121"/>
      <c r="B136" s="121"/>
      <c r="C136" s="121"/>
      <c r="D136" s="121"/>
      <c r="E136" s="121"/>
      <c r="F136" s="24"/>
      <c r="G136" s="121"/>
      <c r="H136" s="24"/>
      <c r="I136" s="24"/>
      <c r="J136" s="121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</row>
    <row r="137" spans="1:25" ht="18.75">
      <c r="A137" s="121"/>
      <c r="B137" s="121"/>
      <c r="C137" s="121"/>
      <c r="D137" s="121"/>
      <c r="E137" s="121"/>
      <c r="F137" s="24"/>
      <c r="G137" s="121"/>
      <c r="H137" s="24"/>
      <c r="I137" s="24"/>
      <c r="J137" s="121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</row>
    <row r="138" spans="1:25" ht="18.75">
      <c r="A138" s="121"/>
      <c r="B138" s="121"/>
      <c r="C138" s="121"/>
      <c r="D138" s="121"/>
      <c r="E138" s="121"/>
      <c r="F138" s="24"/>
      <c r="G138" s="121"/>
      <c r="H138" s="24"/>
      <c r="I138" s="24"/>
      <c r="J138" s="121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5" ht="18.75">
      <c r="A139" s="121"/>
      <c r="B139" s="121"/>
      <c r="C139" s="121"/>
      <c r="D139" s="121"/>
      <c r="E139" s="121"/>
      <c r="F139" s="24"/>
      <c r="G139" s="121"/>
      <c r="H139" s="24"/>
      <c r="I139" s="24"/>
      <c r="J139" s="121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</row>
    <row r="140" spans="1:25" ht="18.75">
      <c r="A140" s="121"/>
      <c r="B140" s="121"/>
      <c r="C140" s="121"/>
      <c r="D140" s="121"/>
      <c r="E140" s="121"/>
      <c r="F140" s="24"/>
      <c r="G140" s="121"/>
      <c r="H140" s="24"/>
      <c r="I140" s="24"/>
      <c r="J140" s="121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</row>
    <row r="141" spans="1:25" ht="18.75">
      <c r="A141" s="121"/>
      <c r="B141" s="121"/>
      <c r="C141" s="121"/>
      <c r="D141" s="121"/>
      <c r="E141" s="121"/>
      <c r="F141" s="24"/>
      <c r="G141" s="121"/>
      <c r="H141" s="24"/>
      <c r="I141" s="24"/>
      <c r="J141" s="121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</row>
    <row r="142" spans="1:25" ht="18.75">
      <c r="A142" s="121"/>
      <c r="B142" s="121"/>
      <c r="C142" s="121"/>
      <c r="D142" s="121"/>
      <c r="E142" s="121"/>
      <c r="F142" s="24"/>
      <c r="G142" s="121"/>
      <c r="H142" s="24"/>
      <c r="I142" s="24"/>
      <c r="J142" s="121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</row>
    <row r="143" spans="1:25" ht="18.75">
      <c r="A143" s="121"/>
      <c r="B143" s="121"/>
      <c r="C143" s="121"/>
      <c r="D143" s="121"/>
      <c r="E143" s="121"/>
      <c r="F143" s="24"/>
      <c r="G143" s="121"/>
      <c r="H143" s="24"/>
      <c r="I143" s="24"/>
      <c r="J143" s="121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</row>
    <row r="144" spans="1:25" ht="18.75">
      <c r="A144" s="121"/>
      <c r="B144" s="121"/>
      <c r="C144" s="121"/>
      <c r="D144" s="121"/>
      <c r="E144" s="121"/>
      <c r="F144" s="24"/>
      <c r="G144" s="121"/>
      <c r="H144" s="24"/>
      <c r="I144" s="24"/>
      <c r="J144" s="121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</row>
    <row r="145" spans="1:25" ht="18.75">
      <c r="A145" s="121"/>
      <c r="B145" s="121"/>
      <c r="C145" s="121"/>
      <c r="D145" s="121"/>
      <c r="E145" s="121"/>
      <c r="F145" s="24"/>
      <c r="G145" s="121"/>
      <c r="H145" s="24"/>
      <c r="I145" s="24"/>
      <c r="J145" s="121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</row>
    <row r="146" spans="1:25" ht="18.75">
      <c r="A146" s="121"/>
      <c r="B146" s="121"/>
      <c r="C146" s="121"/>
      <c r="D146" s="121"/>
      <c r="E146" s="121"/>
      <c r="F146" s="24"/>
      <c r="G146" s="121"/>
      <c r="H146" s="24"/>
      <c r="I146" s="24"/>
      <c r="J146" s="121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</row>
    <row r="147" spans="1:25" ht="18.75">
      <c r="A147" s="121"/>
      <c r="B147" s="121"/>
      <c r="C147" s="121"/>
      <c r="D147" s="121"/>
      <c r="E147" s="121"/>
      <c r="F147" s="24"/>
      <c r="G147" s="121"/>
      <c r="H147" s="24"/>
      <c r="I147" s="24"/>
      <c r="J147" s="121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</row>
    <row r="148" spans="1:25" ht="18.75">
      <c r="A148" s="121"/>
      <c r="B148" s="121"/>
      <c r="C148" s="121"/>
      <c r="D148" s="121"/>
      <c r="E148" s="121"/>
      <c r="F148" s="24"/>
      <c r="G148" s="121"/>
      <c r="H148" s="24"/>
      <c r="I148" s="24"/>
      <c r="J148" s="121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</row>
    <row r="149" spans="1:25" ht="18.75">
      <c r="A149" s="121"/>
      <c r="B149" s="121"/>
      <c r="C149" s="121"/>
      <c r="D149" s="121"/>
      <c r="E149" s="121"/>
      <c r="F149" s="24"/>
      <c r="G149" s="121"/>
      <c r="H149" s="24"/>
      <c r="I149" s="24"/>
      <c r="J149" s="121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</row>
    <row r="150" spans="1:25" ht="18.75">
      <c r="A150" s="121"/>
      <c r="B150" s="121"/>
      <c r="C150" s="121"/>
      <c r="D150" s="121"/>
      <c r="E150" s="121"/>
      <c r="F150" s="24"/>
      <c r="G150" s="121"/>
      <c r="H150" s="24"/>
      <c r="I150" s="24"/>
      <c r="J150" s="121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</row>
    <row r="151" spans="1:25" ht="18.75">
      <c r="A151" s="121"/>
      <c r="B151" s="121"/>
      <c r="C151" s="121"/>
      <c r="D151" s="121"/>
      <c r="E151" s="121"/>
      <c r="F151" s="24"/>
      <c r="G151" s="121"/>
      <c r="H151" s="24"/>
      <c r="I151" s="24"/>
      <c r="J151" s="121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</row>
    <row r="152" spans="1:25" ht="18.75">
      <c r="A152" s="121"/>
      <c r="B152" s="121"/>
      <c r="C152" s="121"/>
      <c r="D152" s="121"/>
      <c r="E152" s="121"/>
      <c r="F152" s="24"/>
      <c r="G152" s="121"/>
      <c r="H152" s="24"/>
      <c r="I152" s="24"/>
      <c r="J152" s="121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</row>
    <row r="153" spans="1:25" ht="18.75">
      <c r="A153" s="121"/>
      <c r="B153" s="121"/>
      <c r="C153" s="121"/>
      <c r="D153" s="121"/>
      <c r="E153" s="121"/>
      <c r="F153" s="24"/>
      <c r="G153" s="121"/>
      <c r="H153" s="24"/>
      <c r="I153" s="24"/>
      <c r="J153" s="121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</row>
    <row r="154" spans="1:25" ht="18.75">
      <c r="A154" s="121"/>
      <c r="B154" s="121"/>
      <c r="C154" s="121"/>
      <c r="D154" s="121"/>
      <c r="E154" s="121"/>
      <c r="F154" s="24"/>
      <c r="G154" s="121"/>
      <c r="H154" s="24"/>
      <c r="I154" s="24"/>
      <c r="J154" s="121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</row>
    <row r="155" spans="1:25" ht="18.75">
      <c r="A155" s="121"/>
      <c r="B155" s="121"/>
      <c r="C155" s="121"/>
      <c r="D155" s="121"/>
      <c r="E155" s="121"/>
      <c r="F155" s="24"/>
      <c r="G155" s="121"/>
      <c r="H155" s="24"/>
      <c r="I155" s="24"/>
      <c r="J155" s="121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</row>
    <row r="156" spans="1:25" ht="18.75">
      <c r="A156" s="121"/>
      <c r="B156" s="121"/>
      <c r="C156" s="121"/>
      <c r="D156" s="121"/>
      <c r="E156" s="121"/>
      <c r="F156" s="24"/>
      <c r="G156" s="121"/>
      <c r="H156" s="24"/>
      <c r="I156" s="24"/>
      <c r="J156" s="121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</row>
    <row r="157" spans="1:25" ht="18.75">
      <c r="A157" s="121"/>
      <c r="B157" s="121"/>
      <c r="C157" s="121"/>
      <c r="D157" s="121"/>
      <c r="E157" s="121"/>
      <c r="F157" s="24"/>
      <c r="G157" s="121"/>
      <c r="H157" s="24"/>
      <c r="I157" s="24"/>
      <c r="J157" s="121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</row>
    <row r="158" spans="1:25" ht="18.75">
      <c r="A158" s="121"/>
      <c r="B158" s="121"/>
      <c r="C158" s="121"/>
      <c r="D158" s="121"/>
      <c r="E158" s="121"/>
      <c r="F158" s="24"/>
      <c r="G158" s="121"/>
      <c r="H158" s="24"/>
      <c r="I158" s="24"/>
      <c r="J158" s="121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</row>
    <row r="159" spans="1:25" ht="18.75">
      <c r="A159" s="121"/>
      <c r="B159" s="121"/>
      <c r="C159" s="121"/>
      <c r="D159" s="121"/>
      <c r="E159" s="121"/>
      <c r="F159" s="24"/>
      <c r="G159" s="121"/>
      <c r="H159" s="24"/>
      <c r="I159" s="24"/>
      <c r="J159" s="121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</row>
    <row r="160" spans="1:25" ht="18.75">
      <c r="A160" s="121"/>
      <c r="B160" s="121"/>
      <c r="C160" s="121"/>
      <c r="D160" s="121"/>
      <c r="E160" s="121"/>
      <c r="F160" s="24"/>
      <c r="G160" s="121"/>
      <c r="H160" s="24"/>
      <c r="I160" s="24"/>
      <c r="J160" s="121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</row>
    <row r="161" spans="1:25" ht="18.75">
      <c r="A161" s="121"/>
      <c r="B161" s="121"/>
      <c r="C161" s="121"/>
      <c r="D161" s="121"/>
      <c r="E161" s="121"/>
      <c r="F161" s="24"/>
      <c r="G161" s="121"/>
      <c r="H161" s="24"/>
      <c r="I161" s="24"/>
      <c r="J161" s="121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</row>
    <row r="162" spans="1:25" ht="18.75">
      <c r="A162" s="121"/>
      <c r="B162" s="121"/>
      <c r="C162" s="121"/>
      <c r="D162" s="121"/>
      <c r="E162" s="121"/>
      <c r="F162" s="24"/>
      <c r="G162" s="121"/>
      <c r="H162" s="24"/>
      <c r="I162" s="24"/>
      <c r="J162" s="121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</row>
    <row r="163" spans="1:25" ht="18.75">
      <c r="A163" s="121"/>
      <c r="B163" s="121"/>
      <c r="C163" s="121"/>
      <c r="D163" s="121"/>
      <c r="E163" s="121"/>
      <c r="F163" s="24"/>
      <c r="G163" s="121"/>
      <c r="H163" s="24"/>
      <c r="I163" s="24"/>
      <c r="J163" s="121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</row>
    <row r="164" spans="1:25" ht="18.75">
      <c r="A164" s="121"/>
      <c r="B164" s="121"/>
      <c r="C164" s="121"/>
      <c r="D164" s="121"/>
      <c r="E164" s="121"/>
      <c r="F164" s="24"/>
      <c r="G164" s="121"/>
      <c r="H164" s="24"/>
      <c r="I164" s="24"/>
      <c r="J164" s="121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</row>
    <row r="165" spans="1:25" ht="18.75">
      <c r="A165" s="121"/>
      <c r="B165" s="121"/>
      <c r="C165" s="121"/>
      <c r="D165" s="121"/>
      <c r="E165" s="121"/>
      <c r="F165" s="24"/>
      <c r="G165" s="121"/>
      <c r="H165" s="24"/>
      <c r="I165" s="24"/>
      <c r="J165" s="121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</row>
    <row r="166" spans="1:25" ht="18.75">
      <c r="A166" s="121"/>
      <c r="B166" s="121"/>
      <c r="C166" s="121"/>
      <c r="D166" s="121"/>
      <c r="E166" s="121"/>
      <c r="F166" s="24"/>
      <c r="G166" s="121"/>
      <c r="H166" s="24"/>
      <c r="I166" s="24"/>
      <c r="J166" s="121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</row>
    <row r="167" spans="1:25" ht="18.75">
      <c r="A167" s="121"/>
      <c r="B167" s="121"/>
      <c r="C167" s="121"/>
      <c r="D167" s="121"/>
      <c r="E167" s="121"/>
      <c r="F167" s="24"/>
      <c r="G167" s="121"/>
      <c r="H167" s="24"/>
      <c r="I167" s="24"/>
      <c r="J167" s="121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</row>
    <row r="168" spans="1:25" ht="18.75">
      <c r="A168" s="121"/>
      <c r="B168" s="121"/>
      <c r="C168" s="121"/>
      <c r="D168" s="121"/>
      <c r="E168" s="121"/>
      <c r="F168" s="24"/>
      <c r="G168" s="121"/>
      <c r="H168" s="24"/>
      <c r="I168" s="24"/>
      <c r="J168" s="121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</row>
    <row r="169" spans="1:25" ht="18.75">
      <c r="A169" s="121"/>
      <c r="B169" s="121"/>
      <c r="C169" s="121"/>
      <c r="D169" s="121"/>
      <c r="E169" s="121"/>
      <c r="F169" s="24"/>
      <c r="G169" s="121"/>
      <c r="H169" s="24"/>
      <c r="I169" s="24"/>
      <c r="J169" s="121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</row>
    <row r="170" spans="1:25" ht="18.75">
      <c r="A170" s="121"/>
      <c r="B170" s="121"/>
      <c r="C170" s="121"/>
      <c r="D170" s="121"/>
      <c r="E170" s="121"/>
      <c r="F170" s="24"/>
      <c r="G170" s="121"/>
      <c r="H170" s="24"/>
      <c r="I170" s="24"/>
      <c r="J170" s="121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</row>
    <row r="171" spans="1:25" ht="18.75">
      <c r="A171" s="121"/>
      <c r="B171" s="121"/>
      <c r="C171" s="121"/>
      <c r="D171" s="121"/>
      <c r="E171" s="121"/>
      <c r="F171" s="24"/>
      <c r="G171" s="121"/>
      <c r="H171" s="24"/>
      <c r="I171" s="24"/>
      <c r="J171" s="121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1:25" ht="18.75">
      <c r="A172" s="121"/>
      <c r="B172" s="121"/>
      <c r="C172" s="121"/>
      <c r="D172" s="121"/>
      <c r="E172" s="121"/>
      <c r="F172" s="24"/>
      <c r="G172" s="121"/>
      <c r="H172" s="24"/>
      <c r="I172" s="24"/>
      <c r="J172" s="121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</row>
    <row r="173" spans="1:25" ht="18.75">
      <c r="A173" s="121"/>
      <c r="B173" s="121"/>
      <c r="C173" s="121"/>
      <c r="D173" s="121"/>
      <c r="E173" s="121"/>
      <c r="F173" s="24"/>
      <c r="G173" s="121"/>
      <c r="H173" s="24"/>
      <c r="I173" s="24"/>
      <c r="J173" s="121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</row>
    <row r="174" spans="1:25" ht="18.75">
      <c r="A174" s="121"/>
      <c r="B174" s="121"/>
      <c r="C174" s="121"/>
      <c r="D174" s="121"/>
      <c r="E174" s="121"/>
      <c r="F174" s="24"/>
      <c r="G174" s="121"/>
      <c r="H174" s="24"/>
      <c r="I174" s="24"/>
      <c r="J174" s="121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</row>
    <row r="175" spans="1:25" ht="18.75">
      <c r="A175" s="121"/>
      <c r="B175" s="121"/>
      <c r="C175" s="121"/>
      <c r="D175" s="121"/>
      <c r="E175" s="121"/>
      <c r="F175" s="24"/>
      <c r="G175" s="121"/>
      <c r="H175" s="24"/>
      <c r="I175" s="24"/>
      <c r="J175" s="121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</row>
    <row r="176" spans="1:25" ht="18.75">
      <c r="A176" s="121"/>
      <c r="B176" s="121"/>
      <c r="C176" s="121"/>
      <c r="D176" s="121"/>
      <c r="E176" s="121"/>
      <c r="F176" s="24"/>
      <c r="G176" s="121"/>
      <c r="H176" s="24"/>
      <c r="I176" s="24"/>
      <c r="J176" s="121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</row>
    <row r="177" spans="1:25" ht="18.75">
      <c r="A177" s="121"/>
      <c r="B177" s="121"/>
      <c r="C177" s="121"/>
      <c r="D177" s="121"/>
      <c r="E177" s="121"/>
      <c r="F177" s="24"/>
      <c r="G177" s="121"/>
      <c r="H177" s="24"/>
      <c r="I177" s="24"/>
      <c r="J177" s="121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</row>
    <row r="178" spans="1:25" ht="18.75">
      <c r="A178" s="121"/>
      <c r="B178" s="121"/>
      <c r="C178" s="121"/>
      <c r="D178" s="121"/>
      <c r="E178" s="121"/>
      <c r="F178" s="24"/>
      <c r="G178" s="121"/>
      <c r="H178" s="24"/>
      <c r="I178" s="24"/>
      <c r="J178" s="121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</row>
    <row r="179" spans="1:25" ht="18.75">
      <c r="A179" s="121"/>
      <c r="B179" s="121"/>
      <c r="C179" s="121"/>
      <c r="D179" s="121"/>
      <c r="E179" s="121"/>
      <c r="F179" s="24"/>
      <c r="G179" s="121"/>
      <c r="H179" s="24"/>
      <c r="I179" s="24"/>
      <c r="J179" s="121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</row>
    <row r="180" spans="1:25" ht="18.75">
      <c r="A180" s="121"/>
      <c r="B180" s="121"/>
      <c r="C180" s="121"/>
      <c r="D180" s="121"/>
      <c r="E180" s="121"/>
      <c r="F180" s="24"/>
      <c r="G180" s="121"/>
      <c r="H180" s="24"/>
      <c r="I180" s="24"/>
      <c r="J180" s="121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</row>
    <row r="181" spans="1:25" ht="18.75">
      <c r="A181" s="121"/>
      <c r="B181" s="121"/>
      <c r="C181" s="121"/>
      <c r="D181" s="121"/>
      <c r="E181" s="121"/>
      <c r="F181" s="24"/>
      <c r="G181" s="121"/>
      <c r="H181" s="24"/>
      <c r="I181" s="24"/>
      <c r="J181" s="121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</row>
    <row r="182" spans="1:25" ht="18.75">
      <c r="A182" s="121"/>
      <c r="B182" s="121"/>
      <c r="C182" s="121"/>
      <c r="D182" s="121"/>
      <c r="E182" s="121"/>
      <c r="F182" s="24"/>
      <c r="G182" s="121"/>
      <c r="H182" s="24"/>
      <c r="I182" s="24"/>
      <c r="J182" s="121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</row>
    <row r="183" spans="1:25" ht="18.75">
      <c r="A183" s="121"/>
      <c r="B183" s="121"/>
      <c r="C183" s="121"/>
      <c r="D183" s="121"/>
      <c r="E183" s="121"/>
      <c r="F183" s="24"/>
      <c r="G183" s="121"/>
      <c r="H183" s="24"/>
      <c r="I183" s="24"/>
      <c r="J183" s="121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</row>
    <row r="184" spans="1:25" ht="18.75">
      <c r="A184" s="121"/>
      <c r="B184" s="121"/>
      <c r="C184" s="121"/>
      <c r="D184" s="121"/>
      <c r="E184" s="121"/>
      <c r="F184" s="24"/>
      <c r="G184" s="121"/>
      <c r="H184" s="24"/>
      <c r="I184" s="24"/>
      <c r="J184" s="121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</row>
    <row r="185" spans="1:25" ht="18.75">
      <c r="A185" s="121"/>
      <c r="B185" s="121"/>
      <c r="C185" s="121"/>
      <c r="D185" s="121"/>
      <c r="E185" s="121"/>
      <c r="F185" s="24"/>
      <c r="G185" s="121"/>
      <c r="H185" s="24"/>
      <c r="I185" s="24"/>
      <c r="J185" s="121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</row>
    <row r="186" spans="1:25" ht="18.75">
      <c r="A186" s="121"/>
      <c r="B186" s="121"/>
      <c r="C186" s="121"/>
      <c r="D186" s="121"/>
      <c r="E186" s="121"/>
      <c r="F186" s="24"/>
      <c r="G186" s="121"/>
      <c r="H186" s="24"/>
      <c r="I186" s="24"/>
      <c r="J186" s="121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</row>
    <row r="187" spans="1:25" ht="18.75">
      <c r="A187" s="121"/>
      <c r="B187" s="121"/>
      <c r="C187" s="121"/>
      <c r="D187" s="121"/>
      <c r="E187" s="121"/>
      <c r="F187" s="24"/>
      <c r="G187" s="121"/>
      <c r="H187" s="24"/>
      <c r="I187" s="24"/>
      <c r="J187" s="121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</row>
    <row r="188" spans="1:25" ht="18.75">
      <c r="A188" s="121"/>
      <c r="B188" s="121"/>
      <c r="C188" s="121"/>
      <c r="D188" s="121"/>
      <c r="E188" s="121"/>
      <c r="F188" s="24"/>
      <c r="G188" s="121"/>
      <c r="H188" s="24"/>
      <c r="I188" s="24"/>
      <c r="J188" s="121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</row>
    <row r="189" spans="1:25" ht="18.75">
      <c r="A189" s="121"/>
      <c r="B189" s="121"/>
      <c r="C189" s="121"/>
      <c r="D189" s="121"/>
      <c r="E189" s="121"/>
      <c r="F189" s="24"/>
      <c r="G189" s="121"/>
      <c r="H189" s="24"/>
      <c r="I189" s="24"/>
      <c r="J189" s="121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</row>
    <row r="190" spans="1:25" ht="18.75">
      <c r="A190" s="121"/>
      <c r="B190" s="121"/>
      <c r="C190" s="121"/>
      <c r="D190" s="121"/>
      <c r="E190" s="121"/>
      <c r="F190" s="24"/>
      <c r="G190" s="121"/>
      <c r="H190" s="24"/>
      <c r="I190" s="24"/>
      <c r="J190" s="121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</row>
    <row r="191" spans="1:25" ht="18.75">
      <c r="A191" s="121"/>
      <c r="B191" s="121"/>
      <c r="C191" s="121"/>
      <c r="D191" s="121"/>
      <c r="E191" s="121"/>
      <c r="F191" s="24"/>
      <c r="G191" s="121"/>
      <c r="H191" s="24"/>
      <c r="I191" s="24"/>
      <c r="J191" s="121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</row>
    <row r="192" spans="1:25" ht="18.75">
      <c r="A192" s="121"/>
      <c r="B192" s="121"/>
      <c r="C192" s="121"/>
      <c r="D192" s="121"/>
      <c r="E192" s="121"/>
      <c r="F192" s="24"/>
      <c r="G192" s="121"/>
      <c r="H192" s="24"/>
      <c r="I192" s="24"/>
      <c r="J192" s="121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</row>
    <row r="193" spans="1:25" ht="18.75">
      <c r="A193" s="121"/>
      <c r="B193" s="121"/>
      <c r="C193" s="121"/>
      <c r="D193" s="121"/>
      <c r="E193" s="121"/>
      <c r="F193" s="24"/>
      <c r="G193" s="121"/>
      <c r="H193" s="24"/>
      <c r="I193" s="24"/>
      <c r="J193" s="121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</row>
    <row r="194" spans="1:25" ht="18.75">
      <c r="A194" s="121"/>
      <c r="B194" s="121"/>
      <c r="C194" s="121"/>
      <c r="D194" s="121"/>
      <c r="E194" s="121"/>
      <c r="F194" s="24"/>
      <c r="G194" s="121"/>
      <c r="H194" s="24"/>
      <c r="I194" s="24"/>
      <c r="J194" s="121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</row>
    <row r="195" spans="1:25" ht="18.75">
      <c r="A195" s="121"/>
      <c r="B195" s="121"/>
      <c r="C195" s="121"/>
      <c r="D195" s="121"/>
      <c r="E195" s="121"/>
      <c r="F195" s="24"/>
      <c r="G195" s="121"/>
      <c r="H195" s="24"/>
      <c r="I195" s="24"/>
      <c r="J195" s="121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</row>
    <row r="196" spans="1:25" ht="18.75">
      <c r="A196" s="121"/>
      <c r="B196" s="121"/>
      <c r="C196" s="121"/>
      <c r="D196" s="121"/>
      <c r="E196" s="121"/>
      <c r="F196" s="24"/>
      <c r="G196" s="121"/>
      <c r="H196" s="24"/>
      <c r="I196" s="24"/>
      <c r="J196" s="121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</row>
    <row r="197" spans="1:25" ht="18.75">
      <c r="A197" s="121"/>
      <c r="B197" s="121"/>
      <c r="C197" s="121"/>
      <c r="D197" s="121"/>
      <c r="E197" s="121"/>
      <c r="F197" s="24"/>
      <c r="G197" s="121"/>
      <c r="H197" s="24"/>
      <c r="I197" s="24"/>
      <c r="J197" s="121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</row>
    <row r="198" spans="1:25" ht="18.75">
      <c r="A198" s="121"/>
      <c r="B198" s="121"/>
      <c r="C198" s="121"/>
      <c r="D198" s="121"/>
      <c r="E198" s="121"/>
      <c r="F198" s="24"/>
      <c r="G198" s="121"/>
      <c r="H198" s="24"/>
      <c r="I198" s="24"/>
      <c r="J198" s="121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</row>
    <row r="199" spans="1:25" ht="18.75">
      <c r="A199" s="121"/>
      <c r="B199" s="121"/>
      <c r="C199" s="121"/>
      <c r="D199" s="121"/>
      <c r="E199" s="121"/>
      <c r="F199" s="24"/>
      <c r="G199" s="121"/>
      <c r="H199" s="24"/>
      <c r="I199" s="24"/>
      <c r="J199" s="121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</row>
    <row r="200" spans="1:25" ht="18.75">
      <c r="A200" s="121"/>
      <c r="B200" s="121"/>
      <c r="C200" s="121"/>
      <c r="D200" s="121"/>
      <c r="E200" s="121"/>
      <c r="F200" s="24"/>
      <c r="G200" s="121"/>
      <c r="H200" s="24"/>
      <c r="I200" s="24"/>
      <c r="J200" s="121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</row>
    <row r="201" spans="1:25" ht="18.75">
      <c r="A201" s="121"/>
      <c r="B201" s="121"/>
      <c r="C201" s="121"/>
      <c r="D201" s="121"/>
      <c r="E201" s="121"/>
      <c r="F201" s="24"/>
      <c r="G201" s="121"/>
      <c r="H201" s="24"/>
      <c r="I201" s="24"/>
      <c r="J201" s="121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</row>
    <row r="202" spans="1:25" ht="18.75">
      <c r="A202" s="121"/>
      <c r="B202" s="121"/>
      <c r="C202" s="121"/>
      <c r="D202" s="121"/>
      <c r="E202" s="121"/>
      <c r="F202" s="24"/>
      <c r="G202" s="121"/>
      <c r="H202" s="24"/>
      <c r="I202" s="24"/>
      <c r="J202" s="121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</row>
    <row r="203" spans="1:25" ht="18.75">
      <c r="A203" s="121"/>
      <c r="B203" s="121"/>
      <c r="C203" s="121"/>
      <c r="D203" s="121"/>
      <c r="E203" s="121"/>
      <c r="F203" s="24"/>
      <c r="G203" s="121"/>
      <c r="H203" s="24"/>
      <c r="I203" s="24"/>
      <c r="J203" s="121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</row>
    <row r="204" spans="1:25" ht="18.75">
      <c r="A204" s="121"/>
      <c r="B204" s="121"/>
      <c r="C204" s="121"/>
      <c r="D204" s="121"/>
      <c r="E204" s="121"/>
      <c r="F204" s="24"/>
      <c r="G204" s="121"/>
      <c r="H204" s="24"/>
      <c r="I204" s="24"/>
      <c r="J204" s="121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</row>
    <row r="205" spans="1:25" ht="18.75">
      <c r="A205" s="121"/>
      <c r="B205" s="121"/>
      <c r="C205" s="121"/>
      <c r="D205" s="121"/>
      <c r="E205" s="121"/>
      <c r="F205" s="24"/>
      <c r="G205" s="121"/>
      <c r="H205" s="24"/>
      <c r="I205" s="24"/>
      <c r="J205" s="121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</row>
    <row r="206" spans="1:25" ht="18.75">
      <c r="A206" s="121"/>
      <c r="B206" s="121"/>
      <c r="C206" s="121"/>
      <c r="D206" s="121"/>
      <c r="E206" s="121"/>
      <c r="F206" s="24"/>
      <c r="G206" s="121"/>
      <c r="H206" s="24"/>
      <c r="I206" s="24"/>
      <c r="J206" s="121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</row>
    <row r="207" spans="1:25" ht="18.75">
      <c r="A207" s="121"/>
      <c r="B207" s="121"/>
      <c r="C207" s="121"/>
      <c r="D207" s="121"/>
      <c r="E207" s="121"/>
      <c r="F207" s="24"/>
      <c r="G207" s="121"/>
      <c r="H207" s="24"/>
      <c r="I207" s="24"/>
      <c r="J207" s="121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</row>
    <row r="208" spans="1:25" ht="18.75">
      <c r="A208" s="121"/>
      <c r="B208" s="121"/>
      <c r="C208" s="121"/>
      <c r="D208" s="121"/>
      <c r="E208" s="121"/>
      <c r="F208" s="24"/>
      <c r="G208" s="121"/>
      <c r="H208" s="24"/>
      <c r="I208" s="24"/>
      <c r="J208" s="121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</row>
    <row r="209" spans="1:25" ht="18.75">
      <c r="A209" s="121"/>
      <c r="B209" s="121"/>
      <c r="C209" s="121"/>
      <c r="D209" s="121"/>
      <c r="E209" s="121"/>
      <c r="F209" s="24"/>
      <c r="G209" s="121"/>
      <c r="H209" s="24"/>
      <c r="I209" s="24"/>
      <c r="J209" s="121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</row>
    <row r="210" spans="1:25" ht="18.75">
      <c r="A210" s="121"/>
      <c r="B210" s="121"/>
      <c r="C210" s="121"/>
      <c r="D210" s="121"/>
      <c r="E210" s="121"/>
      <c r="F210" s="24"/>
      <c r="G210" s="121"/>
      <c r="H210" s="24"/>
      <c r="I210" s="24"/>
      <c r="J210" s="121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</row>
    <row r="211" spans="1:25" ht="18.75">
      <c r="A211" s="121"/>
      <c r="B211" s="121"/>
      <c r="C211" s="121"/>
      <c r="D211" s="121"/>
      <c r="E211" s="121"/>
      <c r="F211" s="24"/>
      <c r="G211" s="121"/>
      <c r="H211" s="24"/>
      <c r="I211" s="24"/>
      <c r="J211" s="121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</row>
    <row r="212" spans="1:25" ht="18.75">
      <c r="A212" s="121"/>
      <c r="B212" s="121"/>
      <c r="C212" s="121"/>
      <c r="D212" s="121"/>
      <c r="E212" s="121"/>
      <c r="F212" s="24"/>
      <c r="G212" s="121"/>
      <c r="H212" s="24"/>
      <c r="I212" s="24"/>
      <c r="J212" s="121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</row>
    <row r="213" spans="1:25" ht="18.75">
      <c r="A213" s="121"/>
      <c r="B213" s="121"/>
      <c r="C213" s="121"/>
      <c r="D213" s="121"/>
      <c r="E213" s="121"/>
      <c r="F213" s="24"/>
      <c r="G213" s="121"/>
      <c r="H213" s="24"/>
      <c r="I213" s="24"/>
      <c r="J213" s="121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</row>
    <row r="214" spans="1:25" ht="18.75">
      <c r="A214" s="121"/>
      <c r="B214" s="121"/>
      <c r="C214" s="121"/>
      <c r="D214" s="121"/>
      <c r="E214" s="121"/>
      <c r="F214" s="24"/>
      <c r="G214" s="121"/>
      <c r="H214" s="24"/>
      <c r="I214" s="24"/>
      <c r="J214" s="121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</row>
    <row r="215" spans="1:25" ht="18.75">
      <c r="A215" s="121"/>
      <c r="B215" s="121"/>
      <c r="C215" s="121"/>
      <c r="D215" s="121"/>
      <c r="E215" s="121"/>
      <c r="F215" s="24"/>
      <c r="G215" s="121"/>
      <c r="H215" s="24"/>
      <c r="I215" s="24"/>
      <c r="J215" s="121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</row>
    <row r="216" spans="1:25" ht="18.75">
      <c r="A216" s="121"/>
      <c r="B216" s="121"/>
      <c r="C216" s="121"/>
      <c r="D216" s="121"/>
      <c r="E216" s="121"/>
      <c r="F216" s="24"/>
      <c r="G216" s="121"/>
      <c r="H216" s="24"/>
      <c r="I216" s="24"/>
      <c r="J216" s="121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</row>
    <row r="217" spans="1:25" ht="18.75">
      <c r="A217" s="121"/>
      <c r="B217" s="121"/>
      <c r="C217" s="121"/>
      <c r="D217" s="121"/>
      <c r="E217" s="121"/>
      <c r="F217" s="24"/>
      <c r="G217" s="121"/>
      <c r="H217" s="24"/>
      <c r="I217" s="24"/>
      <c r="J217" s="121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</row>
    <row r="218" spans="1:25" ht="18.75">
      <c r="A218" s="121"/>
      <c r="B218" s="121"/>
      <c r="C218" s="121"/>
      <c r="D218" s="121"/>
      <c r="E218" s="121"/>
      <c r="F218" s="24"/>
      <c r="G218" s="121"/>
      <c r="H218" s="24"/>
      <c r="I218" s="24"/>
      <c r="J218" s="121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</row>
    <row r="219" spans="1:25" ht="18.75">
      <c r="A219" s="121"/>
      <c r="B219" s="121"/>
      <c r="C219" s="121"/>
      <c r="D219" s="121"/>
      <c r="E219" s="121"/>
      <c r="F219" s="24"/>
      <c r="G219" s="121"/>
      <c r="H219" s="24"/>
      <c r="I219" s="24"/>
      <c r="J219" s="121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</row>
    <row r="220" spans="1:25" ht="18.75">
      <c r="A220" s="121"/>
      <c r="B220" s="121"/>
      <c r="C220" s="121"/>
      <c r="D220" s="121"/>
      <c r="E220" s="121"/>
      <c r="F220" s="24"/>
      <c r="G220" s="121"/>
      <c r="H220" s="24"/>
      <c r="I220" s="24"/>
      <c r="J220" s="121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</row>
    <row r="221" spans="1:25" ht="18.75">
      <c r="A221" s="121"/>
      <c r="B221" s="121"/>
      <c r="C221" s="121"/>
      <c r="D221" s="121"/>
      <c r="E221" s="121"/>
      <c r="F221" s="24"/>
      <c r="G221" s="121"/>
      <c r="H221" s="24"/>
      <c r="I221" s="24"/>
      <c r="J221" s="121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</row>
    <row r="222" spans="1:25" ht="18.75">
      <c r="A222" s="121"/>
      <c r="B222" s="121"/>
      <c r="C222" s="121"/>
      <c r="D222" s="121"/>
      <c r="E222" s="121"/>
      <c r="F222" s="24"/>
      <c r="G222" s="121"/>
      <c r="H222" s="24"/>
      <c r="I222" s="24"/>
      <c r="J222" s="121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</row>
    <row r="223" spans="1:25" ht="18.75">
      <c r="A223" s="121"/>
      <c r="B223" s="121"/>
      <c r="C223" s="121"/>
      <c r="D223" s="121"/>
      <c r="E223" s="121"/>
      <c r="F223" s="24"/>
      <c r="G223" s="121"/>
      <c r="H223" s="24"/>
      <c r="I223" s="24"/>
      <c r="J223" s="121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</row>
    <row r="224" spans="1:25" ht="18.75">
      <c r="A224" s="121"/>
      <c r="B224" s="121"/>
      <c r="C224" s="121"/>
      <c r="D224" s="121"/>
      <c r="E224" s="121"/>
      <c r="F224" s="24"/>
      <c r="G224" s="121"/>
      <c r="H224" s="24"/>
      <c r="I224" s="24"/>
      <c r="J224" s="121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</row>
    <row r="225" spans="1:25" ht="18.75">
      <c r="A225" s="121"/>
      <c r="B225" s="121"/>
      <c r="C225" s="121"/>
      <c r="D225" s="121"/>
      <c r="E225" s="121"/>
      <c r="F225" s="24"/>
      <c r="G225" s="121"/>
      <c r="H225" s="24"/>
      <c r="I225" s="24"/>
      <c r="J225" s="121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</row>
    <row r="226" spans="1:25" ht="18.75">
      <c r="A226" s="121"/>
      <c r="B226" s="121"/>
      <c r="C226" s="121"/>
      <c r="D226" s="121"/>
      <c r="E226" s="121"/>
      <c r="F226" s="24"/>
      <c r="G226" s="121"/>
      <c r="H226" s="24"/>
      <c r="I226" s="24"/>
      <c r="J226" s="121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</row>
    <row r="227" spans="1:25" ht="18.75">
      <c r="A227" s="121"/>
      <c r="B227" s="121"/>
      <c r="C227" s="121"/>
      <c r="D227" s="121"/>
      <c r="E227" s="121"/>
      <c r="F227" s="24"/>
      <c r="G227" s="121"/>
      <c r="H227" s="24"/>
      <c r="I227" s="24"/>
      <c r="J227" s="121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</row>
    <row r="228" spans="1:25" ht="18.75">
      <c r="A228" s="121"/>
      <c r="B228" s="121"/>
      <c r="C228" s="121"/>
      <c r="D228" s="121"/>
      <c r="E228" s="121"/>
      <c r="F228" s="24"/>
      <c r="G228" s="121"/>
      <c r="H228" s="24"/>
      <c r="I228" s="24"/>
      <c r="J228" s="121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</row>
    <row r="229" spans="1:25" ht="18.75">
      <c r="A229" s="121"/>
      <c r="B229" s="121"/>
      <c r="C229" s="121"/>
      <c r="D229" s="121"/>
      <c r="E229" s="121"/>
      <c r="F229" s="24"/>
      <c r="G229" s="121"/>
      <c r="H229" s="24"/>
      <c r="I229" s="24"/>
      <c r="J229" s="121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</row>
    <row r="230" spans="1:25" ht="18.75">
      <c r="A230" s="121"/>
      <c r="B230" s="121"/>
      <c r="C230" s="121"/>
      <c r="D230" s="121"/>
      <c r="E230" s="121"/>
      <c r="F230" s="24"/>
      <c r="G230" s="121"/>
      <c r="H230" s="24"/>
      <c r="I230" s="24"/>
      <c r="J230" s="121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</row>
    <row r="231" spans="1:25" ht="18.75">
      <c r="A231" s="121"/>
      <c r="B231" s="121"/>
      <c r="C231" s="121"/>
      <c r="D231" s="121"/>
      <c r="E231" s="121"/>
      <c r="F231" s="24"/>
      <c r="G231" s="121"/>
      <c r="H231" s="24"/>
      <c r="I231" s="24"/>
      <c r="J231" s="121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</row>
    <row r="232" spans="1:25" ht="18.75">
      <c r="A232" s="121"/>
      <c r="B232" s="121"/>
      <c r="C232" s="121"/>
      <c r="D232" s="121"/>
      <c r="E232" s="121"/>
      <c r="F232" s="24"/>
      <c r="G232" s="121"/>
      <c r="H232" s="24"/>
      <c r="I232" s="24"/>
      <c r="J232" s="121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</row>
    <row r="233" spans="1:25" ht="18.75">
      <c r="A233" s="121"/>
      <c r="B233" s="121"/>
      <c r="C233" s="121"/>
      <c r="D233" s="121"/>
      <c r="E233" s="121"/>
      <c r="F233" s="24"/>
      <c r="G233" s="121"/>
      <c r="H233" s="24"/>
      <c r="I233" s="24"/>
      <c r="J233" s="121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</row>
    <row r="234" spans="1:25" ht="18.75">
      <c r="A234" s="121"/>
      <c r="B234" s="121"/>
      <c r="C234" s="121"/>
      <c r="D234" s="121"/>
      <c r="E234" s="121"/>
      <c r="F234" s="24"/>
      <c r="G234" s="121"/>
      <c r="H234" s="24"/>
      <c r="I234" s="24"/>
      <c r="J234" s="121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</row>
    <row r="235" spans="1:25" ht="18.75">
      <c r="A235" s="121"/>
      <c r="B235" s="121"/>
      <c r="C235" s="121"/>
      <c r="D235" s="121"/>
      <c r="E235" s="121"/>
      <c r="F235" s="24"/>
      <c r="G235" s="121"/>
      <c r="H235" s="24"/>
      <c r="I235" s="24"/>
      <c r="J235" s="121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</row>
    <row r="236" spans="1:25" ht="18.75">
      <c r="A236" s="121"/>
      <c r="B236" s="121"/>
      <c r="C236" s="121"/>
      <c r="D236" s="121"/>
      <c r="E236" s="121"/>
      <c r="F236" s="24"/>
      <c r="G236" s="121"/>
      <c r="H236" s="24"/>
      <c r="I236" s="24"/>
      <c r="J236" s="121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</row>
    <row r="237" spans="1:25" ht="18.75">
      <c r="A237" s="121"/>
      <c r="B237" s="121"/>
      <c r="C237" s="121"/>
      <c r="D237" s="121"/>
      <c r="E237" s="121"/>
      <c r="F237" s="24"/>
      <c r="G237" s="121"/>
      <c r="H237" s="24"/>
      <c r="I237" s="24"/>
      <c r="J237" s="121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</row>
    <row r="238" spans="1:25" ht="18.75">
      <c r="A238" s="121"/>
      <c r="B238" s="121"/>
      <c r="C238" s="121"/>
      <c r="D238" s="121"/>
      <c r="E238" s="121"/>
      <c r="F238" s="24"/>
      <c r="G238" s="121"/>
      <c r="H238" s="24"/>
      <c r="I238" s="24"/>
      <c r="J238" s="121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</row>
    <row r="239" spans="1:25" ht="18.75">
      <c r="A239" s="121"/>
      <c r="B239" s="121"/>
      <c r="C239" s="121"/>
      <c r="D239" s="121"/>
      <c r="E239" s="121"/>
      <c r="F239" s="24"/>
      <c r="G239" s="121"/>
      <c r="H239" s="24"/>
      <c r="I239" s="24"/>
      <c r="J239" s="121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</row>
    <row r="240" spans="1:25" ht="18.75">
      <c r="A240" s="121"/>
      <c r="B240" s="121"/>
      <c r="C240" s="121"/>
      <c r="D240" s="121"/>
      <c r="E240" s="121"/>
      <c r="F240" s="24"/>
      <c r="G240" s="121"/>
      <c r="H240" s="24"/>
      <c r="I240" s="24"/>
      <c r="J240" s="121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</row>
    <row r="241" spans="1:25" ht="18.75">
      <c r="A241" s="121"/>
      <c r="B241" s="121"/>
      <c r="C241" s="121"/>
      <c r="D241" s="121"/>
      <c r="E241" s="121"/>
      <c r="F241" s="24"/>
      <c r="G241" s="121"/>
      <c r="H241" s="24"/>
      <c r="I241" s="24"/>
      <c r="J241" s="121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</row>
    <row r="242" spans="1:25" ht="18.75">
      <c r="A242" s="121"/>
      <c r="B242" s="121"/>
      <c r="C242" s="121"/>
      <c r="D242" s="121"/>
      <c r="E242" s="121"/>
      <c r="F242" s="24"/>
      <c r="G242" s="121"/>
      <c r="H242" s="24"/>
      <c r="I242" s="24"/>
      <c r="J242" s="121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</row>
    <row r="243" spans="1:25" ht="18.75">
      <c r="A243" s="121"/>
      <c r="B243" s="121"/>
      <c r="C243" s="121"/>
      <c r="D243" s="121"/>
      <c r="E243" s="121"/>
      <c r="F243" s="24"/>
      <c r="G243" s="121"/>
      <c r="H243" s="24"/>
      <c r="I243" s="24"/>
      <c r="J243" s="121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</row>
    <row r="244" spans="1:25" ht="18.75">
      <c r="A244" s="121"/>
      <c r="B244" s="121"/>
      <c r="C244" s="121"/>
      <c r="D244" s="121"/>
      <c r="E244" s="121"/>
      <c r="F244" s="24"/>
      <c r="G244" s="121"/>
      <c r="H244" s="24"/>
      <c r="I244" s="24"/>
      <c r="J244" s="121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</row>
    <row r="245" spans="1:25" ht="18.75">
      <c r="A245" s="121"/>
      <c r="B245" s="121"/>
      <c r="C245" s="121"/>
      <c r="D245" s="121"/>
      <c r="E245" s="121"/>
      <c r="F245" s="24"/>
      <c r="G245" s="121"/>
      <c r="H245" s="24"/>
      <c r="I245" s="24"/>
      <c r="J245" s="121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</row>
    <row r="246" spans="1:25" ht="18.75">
      <c r="A246" s="121"/>
      <c r="B246" s="121"/>
      <c r="C246" s="121"/>
      <c r="D246" s="121"/>
      <c r="E246" s="121"/>
      <c r="F246" s="24"/>
      <c r="G246" s="121"/>
      <c r="H246" s="24"/>
      <c r="I246" s="24"/>
      <c r="J246" s="121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</row>
    <row r="247" spans="1:25" ht="18.75">
      <c r="A247" s="121"/>
      <c r="B247" s="121"/>
      <c r="C247" s="121"/>
      <c r="D247" s="121"/>
      <c r="E247" s="121"/>
      <c r="F247" s="24"/>
      <c r="G247" s="121"/>
      <c r="H247" s="24"/>
      <c r="I247" s="24"/>
      <c r="J247" s="121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</row>
    <row r="248" spans="1:25" ht="18.75">
      <c r="A248" s="121"/>
      <c r="B248" s="121"/>
      <c r="C248" s="121"/>
      <c r="D248" s="121"/>
      <c r="E248" s="121"/>
      <c r="F248" s="24"/>
      <c r="G248" s="121"/>
      <c r="H248" s="24"/>
      <c r="I248" s="24"/>
      <c r="J248" s="121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</row>
    <row r="249" spans="1:25" ht="18.75">
      <c r="A249" s="121"/>
      <c r="B249" s="121"/>
      <c r="C249" s="121"/>
      <c r="D249" s="121"/>
      <c r="E249" s="121"/>
      <c r="F249" s="24"/>
      <c r="G249" s="121"/>
      <c r="H249" s="24"/>
      <c r="I249" s="24"/>
      <c r="J249" s="121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</row>
    <row r="250" spans="1:25" ht="18.75">
      <c r="A250" s="121"/>
      <c r="B250" s="121"/>
      <c r="C250" s="121"/>
      <c r="D250" s="121"/>
      <c r="E250" s="121"/>
      <c r="F250" s="24"/>
      <c r="G250" s="121"/>
      <c r="H250" s="24"/>
      <c r="I250" s="24"/>
      <c r="J250" s="121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</row>
    <row r="251" spans="1:25" ht="18.75">
      <c r="A251" s="121"/>
      <c r="B251" s="121"/>
      <c r="C251" s="121"/>
      <c r="D251" s="121"/>
      <c r="E251" s="121"/>
      <c r="F251" s="24"/>
      <c r="G251" s="121"/>
      <c r="H251" s="24"/>
      <c r="I251" s="24"/>
      <c r="J251" s="121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</row>
    <row r="252" spans="1:25" ht="18.75">
      <c r="A252" s="121"/>
      <c r="B252" s="121"/>
      <c r="C252" s="121"/>
      <c r="D252" s="121"/>
      <c r="E252" s="121"/>
      <c r="F252" s="24"/>
      <c r="G252" s="121"/>
      <c r="H252" s="24"/>
      <c r="I252" s="24"/>
      <c r="J252" s="121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</row>
    <row r="253" spans="1:25" ht="18.75">
      <c r="A253" s="121"/>
      <c r="B253" s="121"/>
      <c r="C253" s="121"/>
      <c r="D253" s="121"/>
      <c r="E253" s="121"/>
      <c r="F253" s="24"/>
      <c r="G253" s="121"/>
      <c r="H253" s="24"/>
      <c r="I253" s="24"/>
      <c r="J253" s="121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</row>
    <row r="254" spans="1:25" ht="18.75">
      <c r="A254" s="121"/>
      <c r="B254" s="121"/>
      <c r="C254" s="121"/>
      <c r="D254" s="121"/>
      <c r="E254" s="121"/>
      <c r="F254" s="24"/>
      <c r="G254" s="121"/>
      <c r="H254" s="24"/>
      <c r="I254" s="24"/>
      <c r="J254" s="121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</row>
    <row r="255" spans="1:25" ht="18.75">
      <c r="A255" s="121"/>
      <c r="B255" s="121"/>
      <c r="C255" s="121"/>
      <c r="D255" s="121"/>
      <c r="E255" s="121"/>
      <c r="F255" s="24"/>
      <c r="G255" s="121"/>
      <c r="H255" s="24"/>
      <c r="I255" s="24"/>
      <c r="J255" s="121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</row>
    <row r="256" spans="1:25" ht="18.75">
      <c r="A256" s="121"/>
      <c r="B256" s="121"/>
      <c r="C256" s="121"/>
      <c r="D256" s="121"/>
      <c r="E256" s="121"/>
      <c r="F256" s="24"/>
      <c r="G256" s="121"/>
      <c r="H256" s="24"/>
      <c r="I256" s="24"/>
      <c r="J256" s="121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</row>
    <row r="257" spans="1:25" ht="18.75">
      <c r="A257" s="121"/>
      <c r="B257" s="121"/>
      <c r="C257" s="121"/>
      <c r="D257" s="121"/>
      <c r="E257" s="121"/>
      <c r="F257" s="24"/>
      <c r="G257" s="121"/>
      <c r="H257" s="24"/>
      <c r="I257" s="24"/>
      <c r="J257" s="121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</row>
    <row r="258" spans="1:25" ht="18.75">
      <c r="A258" s="121"/>
      <c r="B258" s="121"/>
      <c r="C258" s="121"/>
      <c r="D258" s="121"/>
      <c r="E258" s="121"/>
      <c r="F258" s="24"/>
      <c r="G258" s="121"/>
      <c r="H258" s="24"/>
      <c r="I258" s="24"/>
      <c r="J258" s="121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</row>
    <row r="259" spans="1:25" ht="18.75">
      <c r="A259" s="121"/>
      <c r="B259" s="121"/>
      <c r="C259" s="121"/>
      <c r="D259" s="121"/>
      <c r="E259" s="121"/>
      <c r="F259" s="24"/>
      <c r="G259" s="121"/>
      <c r="H259" s="24"/>
      <c r="I259" s="24"/>
      <c r="J259" s="121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</row>
    <row r="260" spans="1:25" ht="18.75">
      <c r="A260" s="121"/>
      <c r="B260" s="121"/>
      <c r="C260" s="121"/>
      <c r="D260" s="121"/>
      <c r="E260" s="121"/>
      <c r="F260" s="24"/>
      <c r="G260" s="121"/>
      <c r="H260" s="24"/>
      <c r="I260" s="24"/>
      <c r="J260" s="121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</row>
    <row r="261" spans="1:25" ht="18.75">
      <c r="A261" s="121"/>
      <c r="B261" s="121"/>
      <c r="C261" s="121"/>
      <c r="D261" s="121"/>
      <c r="E261" s="121"/>
      <c r="F261" s="24"/>
      <c r="G261" s="121"/>
      <c r="H261" s="24"/>
      <c r="I261" s="24"/>
      <c r="J261" s="121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</row>
    <row r="262" spans="1:25" ht="18.75">
      <c r="A262" s="121"/>
      <c r="B262" s="121"/>
      <c r="C262" s="121"/>
      <c r="D262" s="121"/>
      <c r="E262" s="121"/>
      <c r="F262" s="24"/>
      <c r="G262" s="121"/>
      <c r="H262" s="24"/>
      <c r="I262" s="24"/>
      <c r="J262" s="121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</row>
    <row r="263" spans="1:25" ht="18.75">
      <c r="A263" s="121"/>
      <c r="B263" s="121"/>
      <c r="C263" s="121"/>
      <c r="D263" s="121"/>
      <c r="E263" s="121"/>
      <c r="F263" s="24"/>
      <c r="G263" s="121"/>
      <c r="H263" s="24"/>
      <c r="I263" s="24"/>
      <c r="J263" s="121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</row>
    <row r="264" spans="1:25" ht="18.75">
      <c r="A264" s="121"/>
      <c r="B264" s="121"/>
      <c r="C264" s="121"/>
      <c r="D264" s="121"/>
      <c r="E264" s="121"/>
      <c r="F264" s="24"/>
      <c r="G264" s="121"/>
      <c r="H264" s="24"/>
      <c r="I264" s="24"/>
      <c r="J264" s="121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</row>
    <row r="265" spans="1:25" ht="18.75">
      <c r="A265" s="121"/>
      <c r="B265" s="121"/>
      <c r="C265" s="121"/>
      <c r="D265" s="121"/>
      <c r="E265" s="121"/>
      <c r="F265" s="24"/>
      <c r="G265" s="121"/>
      <c r="H265" s="24"/>
      <c r="I265" s="24"/>
      <c r="J265" s="121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</row>
    <row r="266" spans="1:25" ht="18.75">
      <c r="A266" s="121"/>
      <c r="B266" s="121"/>
      <c r="C266" s="121"/>
      <c r="D266" s="121"/>
      <c r="E266" s="121"/>
      <c r="F266" s="24"/>
      <c r="G266" s="121"/>
      <c r="H266" s="24"/>
      <c r="I266" s="24"/>
      <c r="J266" s="121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</row>
    <row r="267" spans="1:25" ht="18.75">
      <c r="A267" s="121"/>
      <c r="B267" s="121"/>
      <c r="C267" s="121"/>
      <c r="D267" s="121"/>
      <c r="E267" s="121"/>
      <c r="F267" s="24"/>
      <c r="G267" s="121"/>
      <c r="H267" s="24"/>
      <c r="I267" s="24"/>
      <c r="J267" s="121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</row>
    <row r="268" spans="1:25" ht="18.75">
      <c r="A268" s="121"/>
      <c r="B268" s="121"/>
      <c r="C268" s="121"/>
      <c r="D268" s="121"/>
      <c r="E268" s="121"/>
      <c r="F268" s="24"/>
      <c r="G268" s="121"/>
      <c r="H268" s="24"/>
      <c r="I268" s="24"/>
      <c r="J268" s="121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</row>
    <row r="269" spans="1:25" ht="18.75">
      <c r="A269" s="121"/>
      <c r="B269" s="121"/>
      <c r="C269" s="121"/>
      <c r="D269" s="121"/>
      <c r="E269" s="121"/>
      <c r="F269" s="24"/>
      <c r="G269" s="121"/>
      <c r="H269" s="24"/>
      <c r="I269" s="24"/>
      <c r="J269" s="121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</row>
    <row r="270" spans="1:25" ht="18.75">
      <c r="A270" s="121"/>
      <c r="B270" s="121"/>
      <c r="C270" s="121"/>
      <c r="D270" s="121"/>
      <c r="E270" s="121"/>
      <c r="F270" s="24"/>
      <c r="G270" s="121"/>
      <c r="H270" s="24"/>
      <c r="I270" s="24"/>
      <c r="J270" s="121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</row>
    <row r="271" spans="1:25" ht="18.75">
      <c r="A271" s="121"/>
      <c r="B271" s="121"/>
      <c r="C271" s="121"/>
      <c r="D271" s="121"/>
      <c r="E271" s="121"/>
      <c r="F271" s="24"/>
      <c r="G271" s="121"/>
      <c r="H271" s="24"/>
      <c r="I271" s="24"/>
      <c r="J271" s="121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</row>
    <row r="272" spans="1:25" ht="18.75">
      <c r="A272" s="121"/>
      <c r="B272" s="121"/>
      <c r="C272" s="121"/>
      <c r="D272" s="121"/>
      <c r="E272" s="121"/>
      <c r="F272" s="24"/>
      <c r="G272" s="121"/>
      <c r="H272" s="24"/>
      <c r="I272" s="24"/>
      <c r="J272" s="121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</row>
    <row r="273" spans="1:25" ht="18.75">
      <c r="A273" s="121"/>
      <c r="B273" s="121"/>
      <c r="C273" s="121"/>
      <c r="D273" s="121"/>
      <c r="E273" s="121"/>
      <c r="F273" s="24"/>
      <c r="G273" s="121"/>
      <c r="H273" s="24"/>
      <c r="I273" s="24"/>
      <c r="J273" s="121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</row>
    <row r="274" spans="1:25" ht="18.75">
      <c r="A274" s="121"/>
      <c r="B274" s="121"/>
      <c r="C274" s="121"/>
      <c r="D274" s="121"/>
      <c r="E274" s="121"/>
      <c r="F274" s="24"/>
      <c r="G274" s="121"/>
      <c r="H274" s="24"/>
      <c r="I274" s="24"/>
      <c r="J274" s="121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</row>
    <row r="275" spans="1:25" ht="18.75">
      <c r="A275" s="121"/>
      <c r="B275" s="121"/>
      <c r="C275" s="121"/>
      <c r="D275" s="121"/>
      <c r="E275" s="121"/>
      <c r="F275" s="24"/>
      <c r="G275" s="121"/>
      <c r="H275" s="24"/>
      <c r="I275" s="24"/>
      <c r="J275" s="121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</row>
    <row r="276" spans="1:25" ht="18.75">
      <c r="A276" s="121"/>
      <c r="B276" s="121"/>
      <c r="C276" s="121"/>
      <c r="D276" s="121"/>
      <c r="E276" s="121"/>
      <c r="F276" s="24"/>
      <c r="G276" s="121"/>
      <c r="H276" s="24"/>
      <c r="I276" s="24"/>
      <c r="J276" s="121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</row>
    <row r="277" spans="1:25" ht="18.75">
      <c r="A277" s="121"/>
      <c r="B277" s="121"/>
      <c r="C277" s="121"/>
      <c r="D277" s="121"/>
      <c r="E277" s="121"/>
      <c r="F277" s="24"/>
      <c r="G277" s="121"/>
      <c r="H277" s="24"/>
      <c r="I277" s="24"/>
      <c r="J277" s="121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</row>
    <row r="278" spans="1:25" ht="18.75">
      <c r="A278" s="121"/>
      <c r="B278" s="121"/>
      <c r="C278" s="121"/>
      <c r="D278" s="121"/>
      <c r="E278" s="121"/>
      <c r="F278" s="24"/>
      <c r="G278" s="121"/>
      <c r="H278" s="24"/>
      <c r="I278" s="24"/>
      <c r="J278" s="121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</row>
    <row r="279" spans="1:25" ht="18.75">
      <c r="A279" s="121"/>
      <c r="B279" s="121"/>
      <c r="C279" s="121"/>
      <c r="D279" s="121"/>
      <c r="E279" s="121"/>
      <c r="F279" s="24"/>
      <c r="G279" s="121"/>
      <c r="H279" s="24"/>
      <c r="I279" s="24"/>
      <c r="J279" s="121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</row>
    <row r="280" spans="1:25" ht="18.75">
      <c r="A280" s="121"/>
      <c r="B280" s="121"/>
      <c r="C280" s="121"/>
      <c r="D280" s="121"/>
      <c r="E280" s="121"/>
      <c r="F280" s="24"/>
      <c r="G280" s="121"/>
      <c r="H280" s="24"/>
      <c r="I280" s="24"/>
      <c r="J280" s="121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</row>
    <row r="281" spans="1:25" ht="18.75">
      <c r="A281" s="121"/>
      <c r="B281" s="121"/>
      <c r="C281" s="121"/>
      <c r="D281" s="121"/>
      <c r="E281" s="121"/>
      <c r="F281" s="24"/>
      <c r="G281" s="121"/>
      <c r="H281" s="24"/>
      <c r="I281" s="24"/>
      <c r="J281" s="121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</row>
    <row r="282" spans="1:25" ht="18.75">
      <c r="A282" s="121"/>
      <c r="B282" s="121"/>
      <c r="C282" s="121"/>
      <c r="D282" s="121"/>
      <c r="E282" s="121"/>
      <c r="F282" s="24"/>
      <c r="G282" s="121"/>
      <c r="H282" s="24"/>
      <c r="I282" s="24"/>
      <c r="J282" s="121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</row>
    <row r="283" spans="1:25" ht="18.75">
      <c r="A283" s="121"/>
      <c r="B283" s="121"/>
      <c r="C283" s="121"/>
      <c r="D283" s="121"/>
      <c r="E283" s="121"/>
      <c r="F283" s="24"/>
      <c r="G283" s="121"/>
      <c r="H283" s="24"/>
      <c r="I283" s="24"/>
      <c r="J283" s="121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</row>
    <row r="284" spans="1:25" ht="18.75">
      <c r="A284" s="121"/>
      <c r="B284" s="121"/>
      <c r="C284" s="121"/>
      <c r="D284" s="121"/>
      <c r="E284" s="121"/>
      <c r="F284" s="24"/>
      <c r="G284" s="121"/>
      <c r="H284" s="24"/>
      <c r="I284" s="24"/>
      <c r="J284" s="121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</row>
    <row r="285" spans="1:25" ht="18.75">
      <c r="A285" s="121"/>
      <c r="B285" s="121"/>
      <c r="C285" s="121"/>
      <c r="D285" s="121"/>
      <c r="E285" s="121"/>
      <c r="F285" s="24"/>
      <c r="G285" s="121"/>
      <c r="H285" s="24"/>
      <c r="I285" s="24"/>
      <c r="J285" s="121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</row>
    <row r="286" spans="1:25" ht="18.75">
      <c r="A286" s="121"/>
      <c r="B286" s="121"/>
      <c r="C286" s="121"/>
      <c r="D286" s="121"/>
      <c r="E286" s="121"/>
      <c r="F286" s="24"/>
      <c r="G286" s="121"/>
      <c r="H286" s="24"/>
      <c r="I286" s="24"/>
      <c r="J286" s="121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</row>
    <row r="287" spans="1:25" ht="18.75">
      <c r="A287" s="121"/>
      <c r="B287" s="121"/>
      <c r="C287" s="121"/>
      <c r="D287" s="121"/>
      <c r="E287" s="121"/>
      <c r="F287" s="24"/>
      <c r="G287" s="121"/>
      <c r="H287" s="24"/>
      <c r="I287" s="24"/>
      <c r="J287" s="121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</row>
    <row r="288" spans="1:25" ht="18.75">
      <c r="A288" s="121"/>
      <c r="B288" s="121"/>
      <c r="C288" s="121"/>
      <c r="D288" s="121"/>
      <c r="E288" s="121"/>
      <c r="F288" s="24"/>
      <c r="G288" s="121"/>
      <c r="H288" s="24"/>
      <c r="I288" s="24"/>
      <c r="J288" s="121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</row>
    <row r="289" spans="1:25" ht="18.75">
      <c r="A289" s="121"/>
      <c r="B289" s="121"/>
      <c r="C289" s="121"/>
      <c r="D289" s="121"/>
      <c r="E289" s="121"/>
      <c r="F289" s="24"/>
      <c r="G289" s="121"/>
      <c r="H289" s="24"/>
      <c r="I289" s="24"/>
      <c r="J289" s="121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</row>
    <row r="290" spans="1:25" ht="18.75">
      <c r="A290" s="121"/>
      <c r="B290" s="121"/>
      <c r="C290" s="121"/>
      <c r="D290" s="121"/>
      <c r="E290" s="121"/>
      <c r="F290" s="24"/>
      <c r="G290" s="121"/>
      <c r="H290" s="24"/>
      <c r="I290" s="24"/>
      <c r="J290" s="121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</row>
    <row r="291" spans="1:25" ht="18.75">
      <c r="A291" s="121"/>
      <c r="B291" s="121"/>
      <c r="C291" s="121"/>
      <c r="D291" s="121"/>
      <c r="E291" s="121"/>
      <c r="F291" s="24"/>
      <c r="G291" s="121"/>
      <c r="H291" s="24"/>
      <c r="I291" s="24"/>
      <c r="J291" s="121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</row>
    <row r="292" spans="1:25" ht="18.75">
      <c r="A292" s="121"/>
      <c r="B292" s="121"/>
      <c r="C292" s="121"/>
      <c r="D292" s="121"/>
      <c r="E292" s="121"/>
      <c r="F292" s="24"/>
      <c r="G292" s="121"/>
      <c r="H292" s="24"/>
      <c r="I292" s="24"/>
      <c r="J292" s="121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</row>
    <row r="293" spans="1:25" ht="18.75">
      <c r="A293" s="121"/>
      <c r="B293" s="121"/>
      <c r="C293" s="121"/>
      <c r="D293" s="121"/>
      <c r="E293" s="121"/>
      <c r="F293" s="24"/>
      <c r="G293" s="121"/>
      <c r="H293" s="24"/>
      <c r="I293" s="24"/>
      <c r="J293" s="121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</row>
    <row r="294" spans="1:25" ht="18.75">
      <c r="A294" s="121"/>
      <c r="B294" s="121"/>
      <c r="C294" s="121"/>
      <c r="D294" s="121"/>
      <c r="E294" s="121"/>
      <c r="F294" s="24"/>
      <c r="G294" s="121"/>
      <c r="H294" s="24"/>
      <c r="I294" s="24"/>
      <c r="J294" s="121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</row>
    <row r="295" spans="1:25" ht="18.75">
      <c r="A295" s="121"/>
      <c r="B295" s="121"/>
      <c r="C295" s="121"/>
      <c r="D295" s="121"/>
      <c r="E295" s="121"/>
      <c r="F295" s="24"/>
      <c r="G295" s="121"/>
      <c r="H295" s="24"/>
      <c r="I295" s="24"/>
      <c r="J295" s="121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</row>
    <row r="296" spans="1:25" ht="18.75">
      <c r="A296" s="121"/>
      <c r="B296" s="121"/>
      <c r="C296" s="121"/>
      <c r="D296" s="121"/>
      <c r="E296" s="121"/>
      <c r="F296" s="24"/>
      <c r="G296" s="121"/>
      <c r="H296" s="24"/>
      <c r="I296" s="24"/>
      <c r="J296" s="121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</row>
    <row r="297" spans="1:25" ht="18.75">
      <c r="A297" s="121"/>
      <c r="B297" s="121"/>
      <c r="C297" s="121"/>
      <c r="D297" s="121"/>
      <c r="E297" s="121"/>
      <c r="F297" s="24"/>
      <c r="G297" s="121"/>
      <c r="H297" s="24"/>
      <c r="I297" s="24"/>
      <c r="J297" s="121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</row>
    <row r="298" spans="1:25" ht="18.75">
      <c r="A298" s="121"/>
      <c r="B298" s="121"/>
      <c r="C298" s="121"/>
      <c r="D298" s="121"/>
      <c r="E298" s="121"/>
      <c r="F298" s="24"/>
      <c r="G298" s="121"/>
      <c r="H298" s="24"/>
      <c r="I298" s="24"/>
      <c r="J298" s="121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</row>
    <row r="299" spans="1:25" ht="18.75">
      <c r="A299" s="121"/>
      <c r="B299" s="121"/>
      <c r="C299" s="121"/>
      <c r="D299" s="121"/>
      <c r="E299" s="121"/>
      <c r="F299" s="24"/>
      <c r="G299" s="121"/>
      <c r="H299" s="24"/>
      <c r="I299" s="24"/>
      <c r="J299" s="121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</row>
    <row r="300" spans="1:25" ht="18.75">
      <c r="A300" s="121"/>
      <c r="B300" s="121"/>
      <c r="C300" s="121"/>
      <c r="D300" s="121"/>
      <c r="E300" s="121"/>
      <c r="F300" s="24"/>
      <c r="G300" s="121"/>
      <c r="H300" s="24"/>
      <c r="I300" s="24"/>
      <c r="J300" s="121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</row>
    <row r="301" spans="1:25" ht="18.75">
      <c r="A301" s="121"/>
      <c r="B301" s="121"/>
      <c r="C301" s="121"/>
      <c r="D301" s="121"/>
      <c r="E301" s="121"/>
      <c r="F301" s="24"/>
      <c r="G301" s="121"/>
      <c r="H301" s="24"/>
      <c r="I301" s="24"/>
      <c r="J301" s="121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</row>
    <row r="302" spans="1:25" ht="18.75">
      <c r="A302" s="121"/>
      <c r="B302" s="121"/>
      <c r="C302" s="121"/>
      <c r="D302" s="121"/>
      <c r="E302" s="121"/>
      <c r="F302" s="24"/>
      <c r="G302" s="121"/>
      <c r="H302" s="24"/>
      <c r="I302" s="24"/>
      <c r="J302" s="121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</row>
    <row r="303" spans="1:25" ht="18.75">
      <c r="A303" s="121"/>
      <c r="B303" s="121"/>
      <c r="C303" s="121"/>
      <c r="D303" s="121"/>
      <c r="E303" s="121"/>
      <c r="F303" s="24"/>
      <c r="G303" s="121"/>
      <c r="H303" s="24"/>
      <c r="I303" s="24"/>
      <c r="J303" s="121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</row>
    <row r="304" spans="1:25" ht="18.75">
      <c r="A304" s="121"/>
      <c r="B304" s="121"/>
      <c r="C304" s="121"/>
      <c r="D304" s="121"/>
      <c r="E304" s="121"/>
      <c r="F304" s="24"/>
      <c r="G304" s="121"/>
      <c r="H304" s="24"/>
      <c r="I304" s="24"/>
      <c r="J304" s="121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</row>
    <row r="305" spans="1:25" ht="18.75">
      <c r="A305" s="121"/>
      <c r="B305" s="121"/>
      <c r="C305" s="121"/>
      <c r="D305" s="121"/>
      <c r="E305" s="121"/>
      <c r="F305" s="24"/>
      <c r="G305" s="121"/>
      <c r="H305" s="24"/>
      <c r="I305" s="24"/>
      <c r="J305" s="121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</row>
    <row r="306" spans="1:25" ht="18.75">
      <c r="A306" s="121"/>
      <c r="B306" s="121"/>
      <c r="C306" s="121"/>
      <c r="D306" s="121"/>
      <c r="E306" s="121"/>
      <c r="F306" s="24"/>
      <c r="G306" s="121"/>
      <c r="H306" s="24"/>
      <c r="I306" s="24"/>
      <c r="J306" s="121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</row>
    <row r="307" spans="1:25" ht="18.75">
      <c r="A307" s="121"/>
      <c r="B307" s="121"/>
      <c r="C307" s="121"/>
      <c r="D307" s="121"/>
      <c r="E307" s="121"/>
      <c r="F307" s="24"/>
      <c r="G307" s="121"/>
      <c r="H307" s="24"/>
      <c r="I307" s="24"/>
      <c r="J307" s="121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</row>
    <row r="308" spans="1:25" ht="18.75">
      <c r="A308" s="121"/>
      <c r="B308" s="121"/>
      <c r="C308" s="121"/>
      <c r="D308" s="121"/>
      <c r="E308" s="121"/>
      <c r="F308" s="24"/>
      <c r="G308" s="121"/>
      <c r="H308" s="24"/>
      <c r="I308" s="24"/>
      <c r="J308" s="121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</row>
    <row r="309" spans="1:25" ht="18.75">
      <c r="A309" s="121"/>
      <c r="B309" s="121"/>
      <c r="C309" s="121"/>
      <c r="D309" s="121"/>
      <c r="E309" s="121"/>
      <c r="F309" s="24"/>
      <c r="G309" s="121"/>
      <c r="H309" s="24"/>
      <c r="I309" s="24"/>
      <c r="J309" s="121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</row>
    <row r="310" spans="1:25" ht="18.75">
      <c r="A310" s="121"/>
      <c r="B310" s="121"/>
      <c r="C310" s="121"/>
      <c r="D310" s="121"/>
      <c r="E310" s="121"/>
      <c r="F310" s="24"/>
      <c r="G310" s="121"/>
      <c r="H310" s="24"/>
      <c r="I310" s="24"/>
      <c r="J310" s="121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</row>
    <row r="311" spans="1:25" ht="18.75">
      <c r="A311" s="121"/>
      <c r="B311" s="121"/>
      <c r="C311" s="121"/>
      <c r="D311" s="121"/>
      <c r="E311" s="121"/>
      <c r="F311" s="24"/>
      <c r="G311" s="121"/>
      <c r="H311" s="24"/>
      <c r="I311" s="24"/>
      <c r="J311" s="121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</row>
    <row r="312" spans="1:25" ht="18.75">
      <c r="A312" s="121"/>
      <c r="B312" s="121"/>
      <c r="C312" s="121"/>
      <c r="D312" s="121"/>
      <c r="E312" s="121"/>
      <c r="F312" s="24"/>
      <c r="G312" s="121"/>
      <c r="H312" s="24"/>
      <c r="I312" s="24"/>
      <c r="J312" s="121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</row>
    <row r="313" spans="1:25" ht="18.75">
      <c r="A313" s="121"/>
      <c r="B313" s="121"/>
      <c r="C313" s="121"/>
      <c r="D313" s="121"/>
      <c r="E313" s="121"/>
      <c r="F313" s="24"/>
      <c r="G313" s="121"/>
      <c r="H313" s="24"/>
      <c r="I313" s="24"/>
      <c r="J313" s="121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</row>
    <row r="314" spans="1:25" ht="18.75">
      <c r="A314" s="121"/>
      <c r="B314" s="121"/>
      <c r="C314" s="121"/>
      <c r="D314" s="121"/>
      <c r="E314" s="121"/>
      <c r="F314" s="24"/>
      <c r="G314" s="121"/>
      <c r="H314" s="24"/>
      <c r="I314" s="24"/>
      <c r="J314" s="121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</row>
    <row r="315" spans="1:25" ht="18.75">
      <c r="A315" s="121"/>
      <c r="B315" s="121"/>
      <c r="C315" s="121"/>
      <c r="D315" s="121"/>
      <c r="E315" s="121"/>
      <c r="F315" s="24"/>
      <c r="G315" s="121"/>
      <c r="H315" s="24"/>
      <c r="I315" s="24"/>
      <c r="J315" s="121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</row>
    <row r="316" spans="1:25" ht="18.75">
      <c r="A316" s="121"/>
      <c r="B316" s="121"/>
      <c r="C316" s="121"/>
      <c r="D316" s="121"/>
      <c r="E316" s="121"/>
      <c r="F316" s="24"/>
      <c r="G316" s="121"/>
      <c r="H316" s="24"/>
      <c r="I316" s="24"/>
      <c r="J316" s="121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</row>
    <row r="317" spans="1:25" ht="18.75">
      <c r="A317" s="121"/>
      <c r="B317" s="121"/>
      <c r="C317" s="121"/>
      <c r="D317" s="121"/>
      <c r="E317" s="121"/>
      <c r="F317" s="24"/>
      <c r="G317" s="121"/>
      <c r="H317" s="24"/>
      <c r="I317" s="24"/>
      <c r="J317" s="121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</row>
    <row r="318" spans="1:25" ht="18.75">
      <c r="A318" s="121"/>
      <c r="B318" s="121"/>
      <c r="C318" s="121"/>
      <c r="D318" s="121"/>
      <c r="E318" s="121"/>
      <c r="F318" s="24"/>
      <c r="G318" s="121"/>
      <c r="H318" s="24"/>
      <c r="I318" s="24"/>
      <c r="J318" s="121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</row>
    <row r="319" spans="1:25" ht="18.75">
      <c r="A319" s="121"/>
      <c r="B319" s="121"/>
      <c r="C319" s="121"/>
      <c r="D319" s="121"/>
      <c r="E319" s="121"/>
      <c r="F319" s="24"/>
      <c r="G319" s="121"/>
      <c r="H319" s="24"/>
      <c r="I319" s="24"/>
      <c r="J319" s="121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</row>
    <row r="320" spans="1:25" ht="18.75">
      <c r="A320" s="121"/>
      <c r="B320" s="121"/>
      <c r="C320" s="121"/>
      <c r="D320" s="121"/>
      <c r="E320" s="121"/>
      <c r="F320" s="24"/>
      <c r="G320" s="121"/>
      <c r="H320" s="24"/>
      <c r="I320" s="24"/>
      <c r="J320" s="121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</row>
    <row r="321" spans="1:25" ht="18.75">
      <c r="A321" s="121"/>
      <c r="B321" s="121"/>
      <c r="C321" s="121"/>
      <c r="D321" s="121"/>
      <c r="E321" s="121"/>
      <c r="F321" s="24"/>
      <c r="G321" s="121"/>
      <c r="H321" s="24"/>
      <c r="I321" s="24"/>
      <c r="J321" s="121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</row>
    <row r="322" spans="1:25" ht="18.75">
      <c r="A322" s="121"/>
      <c r="B322" s="121"/>
      <c r="C322" s="121"/>
      <c r="D322" s="121"/>
      <c r="E322" s="121"/>
      <c r="F322" s="24"/>
      <c r="G322" s="121"/>
      <c r="H322" s="24"/>
      <c r="I322" s="24"/>
      <c r="J322" s="121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</row>
    <row r="323" spans="1:25" ht="18.75">
      <c r="A323" s="121"/>
      <c r="B323" s="121"/>
      <c r="C323" s="121"/>
      <c r="D323" s="121"/>
      <c r="E323" s="121"/>
      <c r="F323" s="24"/>
      <c r="G323" s="121"/>
      <c r="H323" s="24"/>
      <c r="I323" s="24"/>
      <c r="J323" s="121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</row>
    <row r="324" spans="1:25" ht="18.75">
      <c r="A324" s="121"/>
      <c r="B324" s="121"/>
      <c r="C324" s="121"/>
      <c r="D324" s="121"/>
      <c r="E324" s="121"/>
      <c r="F324" s="24"/>
      <c r="G324" s="121"/>
      <c r="H324" s="24"/>
      <c r="I324" s="24"/>
      <c r="J324" s="121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</row>
    <row r="325" spans="1:25" ht="18.75">
      <c r="A325" s="121"/>
      <c r="B325" s="121"/>
      <c r="C325" s="121"/>
      <c r="D325" s="121"/>
      <c r="E325" s="121"/>
      <c r="F325" s="24"/>
      <c r="G325" s="121"/>
      <c r="H325" s="24"/>
      <c r="I325" s="24"/>
      <c r="J325" s="121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</row>
    <row r="326" spans="1:25" ht="18.75">
      <c r="A326" s="121"/>
      <c r="B326" s="121"/>
      <c r="C326" s="121"/>
      <c r="D326" s="121"/>
      <c r="E326" s="121"/>
      <c r="F326" s="24"/>
      <c r="G326" s="121"/>
      <c r="H326" s="24"/>
      <c r="I326" s="24"/>
      <c r="J326" s="121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</row>
    <row r="327" spans="1:25" ht="18.75">
      <c r="A327" s="121"/>
      <c r="B327" s="121"/>
      <c r="C327" s="121"/>
      <c r="D327" s="121"/>
      <c r="E327" s="121"/>
      <c r="F327" s="24"/>
      <c r="G327" s="121"/>
      <c r="H327" s="24"/>
      <c r="I327" s="24"/>
      <c r="J327" s="121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</row>
    <row r="328" spans="1:25" ht="18.75">
      <c r="A328" s="121"/>
      <c r="B328" s="121"/>
      <c r="C328" s="121"/>
      <c r="D328" s="121"/>
      <c r="E328" s="121"/>
      <c r="F328" s="24"/>
      <c r="G328" s="121"/>
      <c r="H328" s="24"/>
      <c r="I328" s="24"/>
      <c r="J328" s="121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</row>
    <row r="329" spans="1:25" ht="18.75">
      <c r="A329" s="121"/>
      <c r="B329" s="121"/>
      <c r="C329" s="121"/>
      <c r="D329" s="121"/>
      <c r="E329" s="121"/>
      <c r="F329" s="24"/>
      <c r="G329" s="121"/>
      <c r="H329" s="24"/>
      <c r="I329" s="24"/>
      <c r="J329" s="121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</row>
    <row r="330" spans="1:25" ht="18.75">
      <c r="A330" s="121"/>
      <c r="B330" s="121"/>
      <c r="C330" s="121"/>
      <c r="D330" s="121"/>
      <c r="E330" s="121"/>
      <c r="F330" s="24"/>
      <c r="G330" s="121"/>
      <c r="H330" s="24"/>
      <c r="I330" s="24"/>
      <c r="J330" s="121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</row>
    <row r="331" spans="1:25" ht="18.75">
      <c r="A331" s="121"/>
      <c r="B331" s="121"/>
      <c r="C331" s="121"/>
      <c r="D331" s="121"/>
      <c r="E331" s="121"/>
      <c r="F331" s="24"/>
      <c r="G331" s="121"/>
      <c r="H331" s="24"/>
      <c r="I331" s="24"/>
      <c r="J331" s="121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</row>
    <row r="332" spans="1:25" ht="18.75">
      <c r="A332" s="121"/>
      <c r="B332" s="121"/>
      <c r="C332" s="121"/>
      <c r="D332" s="121"/>
      <c r="E332" s="121"/>
      <c r="F332" s="24"/>
      <c r="G332" s="121"/>
      <c r="H332" s="24"/>
      <c r="I332" s="24"/>
      <c r="J332" s="121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</row>
    <row r="333" spans="1:25" ht="18.75">
      <c r="A333" s="121"/>
      <c r="B333" s="121"/>
      <c r="C333" s="121"/>
      <c r="D333" s="121"/>
      <c r="E333" s="121"/>
      <c r="F333" s="24"/>
      <c r="G333" s="121"/>
      <c r="H333" s="24"/>
      <c r="I333" s="24"/>
      <c r="J333" s="121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</row>
    <row r="334" spans="1:25" ht="18.75">
      <c r="A334" s="121"/>
      <c r="B334" s="121"/>
      <c r="C334" s="121"/>
      <c r="D334" s="121"/>
      <c r="E334" s="121"/>
      <c r="F334" s="24"/>
      <c r="G334" s="121"/>
      <c r="H334" s="24"/>
      <c r="I334" s="24"/>
      <c r="J334" s="121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</row>
    <row r="335" spans="1:25" ht="18.75">
      <c r="A335" s="121"/>
      <c r="B335" s="121"/>
      <c r="C335" s="121"/>
      <c r="D335" s="121"/>
      <c r="E335" s="121"/>
      <c r="F335" s="24"/>
      <c r="G335" s="121"/>
      <c r="H335" s="24"/>
      <c r="I335" s="24"/>
      <c r="J335" s="121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</row>
    <row r="336" spans="1:25" ht="18.75">
      <c r="A336" s="121"/>
      <c r="B336" s="121"/>
      <c r="C336" s="121"/>
      <c r="D336" s="121"/>
      <c r="E336" s="121"/>
      <c r="F336" s="24"/>
      <c r="G336" s="121"/>
      <c r="H336" s="24"/>
      <c r="I336" s="24"/>
      <c r="J336" s="121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</row>
    <row r="337" spans="1:25" ht="18.75">
      <c r="A337" s="121"/>
      <c r="B337" s="121"/>
      <c r="C337" s="121"/>
      <c r="D337" s="121"/>
      <c r="E337" s="121"/>
      <c r="F337" s="24"/>
      <c r="G337" s="121"/>
      <c r="H337" s="24"/>
      <c r="I337" s="24"/>
      <c r="J337" s="121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</row>
    <row r="338" spans="1:25" ht="18.75">
      <c r="A338" s="121"/>
      <c r="B338" s="121"/>
      <c r="C338" s="121"/>
      <c r="D338" s="121"/>
      <c r="E338" s="121"/>
      <c r="F338" s="24"/>
      <c r="G338" s="121"/>
      <c r="H338" s="24"/>
      <c r="I338" s="24"/>
      <c r="J338" s="121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</row>
    <row r="339" spans="1:25" ht="18.75">
      <c r="A339" s="121"/>
      <c r="B339" s="121"/>
      <c r="C339" s="121"/>
      <c r="D339" s="121"/>
      <c r="E339" s="121"/>
      <c r="F339" s="24"/>
      <c r="G339" s="121"/>
      <c r="H339" s="24"/>
      <c r="I339" s="24"/>
      <c r="J339" s="121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</row>
    <row r="340" spans="1:25" ht="18.75">
      <c r="A340" s="121"/>
      <c r="B340" s="121"/>
      <c r="C340" s="121"/>
      <c r="D340" s="121"/>
      <c r="E340" s="121"/>
      <c r="F340" s="24"/>
      <c r="G340" s="121"/>
      <c r="H340" s="24"/>
      <c r="I340" s="24"/>
      <c r="J340" s="121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</row>
    <row r="341" spans="1:25" ht="18.75">
      <c r="A341" s="121"/>
      <c r="B341" s="121"/>
      <c r="C341" s="121"/>
      <c r="D341" s="121"/>
      <c r="E341" s="121"/>
      <c r="F341" s="24"/>
      <c r="G341" s="121"/>
      <c r="H341" s="24"/>
      <c r="I341" s="24"/>
      <c r="J341" s="121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</row>
    <row r="342" spans="1:25" ht="18.75">
      <c r="A342" s="121"/>
      <c r="B342" s="121"/>
      <c r="C342" s="121"/>
      <c r="D342" s="121"/>
      <c r="E342" s="121"/>
      <c r="F342" s="24"/>
      <c r="G342" s="121"/>
      <c r="H342" s="24"/>
      <c r="I342" s="24"/>
      <c r="J342" s="121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</row>
    <row r="343" spans="1:25" ht="18.75">
      <c r="A343" s="121"/>
      <c r="B343" s="121"/>
      <c r="C343" s="121"/>
      <c r="D343" s="121"/>
      <c r="E343" s="121"/>
      <c r="F343" s="24"/>
      <c r="G343" s="121"/>
      <c r="H343" s="24"/>
      <c r="I343" s="24"/>
      <c r="J343" s="121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</row>
    <row r="344" spans="1:25" ht="18.75">
      <c r="A344" s="121"/>
      <c r="B344" s="121"/>
      <c r="C344" s="121"/>
      <c r="D344" s="121"/>
      <c r="E344" s="121"/>
      <c r="F344" s="24"/>
      <c r="G344" s="121"/>
      <c r="H344" s="24"/>
      <c r="I344" s="24"/>
      <c r="J344" s="121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</row>
    <row r="345" spans="1:25" ht="18.75">
      <c r="A345" s="121"/>
      <c r="B345" s="121"/>
      <c r="C345" s="121"/>
      <c r="D345" s="121"/>
      <c r="E345" s="121"/>
      <c r="F345" s="24"/>
      <c r="G345" s="121"/>
      <c r="H345" s="24"/>
      <c r="I345" s="24"/>
      <c r="J345" s="121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</row>
    <row r="346" spans="1:25" ht="18.75">
      <c r="A346" s="121"/>
      <c r="B346" s="121"/>
      <c r="C346" s="121"/>
      <c r="D346" s="121"/>
      <c r="E346" s="121"/>
      <c r="F346" s="24"/>
      <c r="G346" s="121"/>
      <c r="H346" s="24"/>
      <c r="I346" s="24"/>
      <c r="J346" s="121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</row>
    <row r="347" spans="1:25" ht="18.75">
      <c r="A347" s="121"/>
      <c r="B347" s="121"/>
      <c r="C347" s="121"/>
      <c r="D347" s="121"/>
      <c r="E347" s="121"/>
      <c r="F347" s="24"/>
      <c r="G347" s="121"/>
      <c r="H347" s="24"/>
      <c r="I347" s="24"/>
      <c r="J347" s="121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</row>
    <row r="348" spans="1:25" ht="18.75">
      <c r="A348" s="121"/>
      <c r="B348" s="121"/>
      <c r="C348" s="121"/>
      <c r="D348" s="121"/>
      <c r="E348" s="121"/>
      <c r="F348" s="24"/>
      <c r="G348" s="121"/>
      <c r="H348" s="24"/>
      <c r="I348" s="24"/>
      <c r="J348" s="121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</row>
    <row r="349" spans="1:25" ht="18.75">
      <c r="A349" s="121"/>
      <c r="B349" s="121"/>
      <c r="C349" s="121"/>
      <c r="D349" s="121"/>
      <c r="E349" s="121"/>
      <c r="F349" s="24"/>
      <c r="G349" s="121"/>
      <c r="H349" s="24"/>
      <c r="I349" s="24"/>
      <c r="J349" s="121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</row>
    <row r="350" spans="1:25" ht="18.75">
      <c r="A350" s="121"/>
      <c r="B350" s="121"/>
      <c r="C350" s="121"/>
      <c r="D350" s="121"/>
      <c r="E350" s="121"/>
      <c r="F350" s="24"/>
      <c r="G350" s="121"/>
      <c r="H350" s="24"/>
      <c r="I350" s="24"/>
      <c r="J350" s="121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</row>
    <row r="351" spans="1:25" ht="18.75">
      <c r="A351" s="121"/>
      <c r="B351" s="121"/>
      <c r="C351" s="121"/>
      <c r="D351" s="121"/>
      <c r="E351" s="121"/>
      <c r="F351" s="24"/>
      <c r="G351" s="121"/>
      <c r="H351" s="24"/>
      <c r="I351" s="24"/>
      <c r="J351" s="121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</row>
    <row r="352" spans="1:25" ht="18.75">
      <c r="A352" s="121"/>
      <c r="B352" s="121"/>
      <c r="C352" s="121"/>
      <c r="D352" s="121"/>
      <c r="E352" s="121"/>
      <c r="F352" s="24"/>
      <c r="G352" s="121"/>
      <c r="H352" s="24"/>
      <c r="I352" s="24"/>
      <c r="J352" s="121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</row>
    <row r="353" spans="1:25" ht="18.75">
      <c r="A353" s="121"/>
      <c r="B353" s="121"/>
      <c r="C353" s="121"/>
      <c r="D353" s="121"/>
      <c r="E353" s="121"/>
      <c r="F353" s="24"/>
      <c r="G353" s="121"/>
      <c r="H353" s="24"/>
      <c r="I353" s="24"/>
      <c r="J353" s="121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</row>
    <row r="354" spans="1:25" ht="18.75">
      <c r="A354" s="121"/>
      <c r="B354" s="121"/>
      <c r="C354" s="121"/>
      <c r="D354" s="121"/>
      <c r="E354" s="121"/>
      <c r="F354" s="24"/>
      <c r="G354" s="121"/>
      <c r="H354" s="24"/>
      <c r="I354" s="24"/>
      <c r="J354" s="121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</row>
    <row r="355" spans="1:25" ht="18.75">
      <c r="A355" s="121"/>
      <c r="B355" s="121"/>
      <c r="C355" s="121"/>
      <c r="D355" s="121"/>
      <c r="E355" s="121"/>
      <c r="F355" s="24"/>
      <c r="G355" s="121"/>
      <c r="H355" s="24"/>
      <c r="I355" s="24"/>
      <c r="J355" s="121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</row>
    <row r="356" spans="1:25" ht="18.75">
      <c r="A356" s="121"/>
      <c r="B356" s="121"/>
      <c r="C356" s="121"/>
      <c r="D356" s="121"/>
      <c r="E356" s="121"/>
      <c r="F356" s="24"/>
      <c r="G356" s="121"/>
      <c r="H356" s="24"/>
      <c r="I356" s="24"/>
      <c r="J356" s="121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</row>
    <row r="357" spans="1:25" ht="18.75">
      <c r="A357" s="121"/>
      <c r="B357" s="121"/>
      <c r="C357" s="121"/>
      <c r="D357" s="121"/>
      <c r="E357" s="121"/>
      <c r="F357" s="24"/>
      <c r="G357" s="121"/>
      <c r="H357" s="24"/>
      <c r="I357" s="24"/>
      <c r="J357" s="121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</row>
    <row r="358" spans="1:25" ht="18.75">
      <c r="A358" s="121"/>
      <c r="B358" s="121"/>
      <c r="C358" s="121"/>
      <c r="D358" s="121"/>
      <c r="E358" s="121"/>
      <c r="F358" s="24"/>
      <c r="G358" s="121"/>
      <c r="H358" s="24"/>
      <c r="I358" s="24"/>
      <c r="J358" s="121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</row>
    <row r="359" spans="1:25" ht="18.75">
      <c r="A359" s="121"/>
      <c r="B359" s="121"/>
      <c r="C359" s="121"/>
      <c r="D359" s="121"/>
      <c r="E359" s="121"/>
      <c r="F359" s="24"/>
      <c r="G359" s="121"/>
      <c r="H359" s="24"/>
      <c r="I359" s="24"/>
      <c r="J359" s="121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</row>
    <row r="360" spans="1:25" ht="18.75">
      <c r="A360" s="121"/>
      <c r="B360" s="121"/>
      <c r="C360" s="121"/>
      <c r="D360" s="121"/>
      <c r="E360" s="121"/>
      <c r="F360" s="24"/>
      <c r="G360" s="121"/>
      <c r="H360" s="24"/>
      <c r="I360" s="24"/>
      <c r="J360" s="121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</row>
    <row r="361" spans="1:25" ht="18.75">
      <c r="A361" s="121"/>
      <c r="B361" s="121"/>
      <c r="C361" s="121"/>
      <c r="D361" s="121"/>
      <c r="E361" s="121"/>
      <c r="F361" s="24"/>
      <c r="G361" s="121"/>
      <c r="H361" s="24"/>
      <c r="I361" s="24"/>
      <c r="J361" s="121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</row>
    <row r="362" spans="1:25" ht="18.75">
      <c r="A362" s="121"/>
      <c r="B362" s="121"/>
      <c r="C362" s="121"/>
      <c r="D362" s="121"/>
      <c r="E362" s="121"/>
      <c r="F362" s="24"/>
      <c r="G362" s="121"/>
      <c r="H362" s="24"/>
      <c r="I362" s="24"/>
      <c r="J362" s="121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</row>
    <row r="363" spans="1:25" ht="18.75">
      <c r="A363" s="121"/>
      <c r="B363" s="121"/>
      <c r="C363" s="121"/>
      <c r="D363" s="121"/>
      <c r="E363" s="121"/>
      <c r="F363" s="24"/>
      <c r="G363" s="121"/>
      <c r="H363" s="24"/>
      <c r="I363" s="24"/>
      <c r="J363" s="121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</row>
    <row r="364" spans="1:25" ht="18.75">
      <c r="A364" s="121"/>
      <c r="B364" s="121"/>
      <c r="C364" s="121"/>
      <c r="D364" s="121"/>
      <c r="E364" s="121"/>
      <c r="F364" s="24"/>
      <c r="G364" s="121"/>
      <c r="H364" s="24"/>
      <c r="I364" s="24"/>
      <c r="J364" s="121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</row>
    <row r="365" spans="1:25" ht="18.75">
      <c r="A365" s="121"/>
      <c r="B365" s="121"/>
      <c r="C365" s="121"/>
      <c r="D365" s="121"/>
      <c r="E365" s="121"/>
      <c r="F365" s="24"/>
      <c r="G365" s="121"/>
      <c r="H365" s="24"/>
      <c r="I365" s="24"/>
      <c r="J365" s="121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</row>
    <row r="366" spans="1:25" ht="18.75">
      <c r="A366" s="121"/>
      <c r="B366" s="121"/>
      <c r="C366" s="121"/>
      <c r="D366" s="121"/>
      <c r="E366" s="121"/>
      <c r="F366" s="24"/>
      <c r="G366" s="121"/>
      <c r="H366" s="24"/>
      <c r="I366" s="24"/>
      <c r="J366" s="121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</row>
    <row r="367" spans="1:25" ht="18.75">
      <c r="A367" s="121"/>
      <c r="B367" s="121"/>
      <c r="C367" s="121"/>
      <c r="D367" s="121"/>
      <c r="E367" s="121"/>
      <c r="F367" s="24"/>
      <c r="G367" s="121"/>
      <c r="H367" s="24"/>
      <c r="I367" s="24"/>
      <c r="J367" s="121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</row>
    <row r="368" spans="1:25" ht="18.75">
      <c r="A368" s="121"/>
      <c r="B368" s="121"/>
      <c r="C368" s="121"/>
      <c r="D368" s="121"/>
      <c r="E368" s="121"/>
      <c r="F368" s="24"/>
      <c r="G368" s="121"/>
      <c r="H368" s="24"/>
      <c r="I368" s="24"/>
      <c r="J368" s="121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</row>
    <row r="369" spans="1:25" ht="18.75">
      <c r="A369" s="121"/>
      <c r="B369" s="121"/>
      <c r="C369" s="121"/>
      <c r="D369" s="121"/>
      <c r="E369" s="121"/>
      <c r="F369" s="24"/>
      <c r="G369" s="121"/>
      <c r="H369" s="24"/>
      <c r="I369" s="24"/>
      <c r="J369" s="121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</row>
    <row r="370" spans="1:25" ht="18.75">
      <c r="A370" s="121"/>
      <c r="B370" s="121"/>
      <c r="C370" s="121"/>
      <c r="D370" s="121"/>
      <c r="E370" s="121"/>
      <c r="F370" s="24"/>
      <c r="G370" s="121"/>
      <c r="H370" s="24"/>
      <c r="I370" s="24"/>
      <c r="J370" s="121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</row>
    <row r="371" spans="1:25" ht="18.75">
      <c r="A371" s="121"/>
      <c r="B371" s="121"/>
      <c r="C371" s="121"/>
      <c r="D371" s="121"/>
      <c r="E371" s="121"/>
      <c r="F371" s="24"/>
      <c r="G371" s="121"/>
      <c r="H371" s="24"/>
      <c r="I371" s="24"/>
      <c r="J371" s="121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</row>
    <row r="372" spans="1:25" ht="18.75">
      <c r="A372" s="121"/>
      <c r="B372" s="121"/>
      <c r="C372" s="121"/>
      <c r="D372" s="121"/>
      <c r="E372" s="121"/>
      <c r="F372" s="24"/>
      <c r="G372" s="121"/>
      <c r="H372" s="24"/>
      <c r="I372" s="24"/>
      <c r="J372" s="121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</row>
    <row r="373" spans="1:25" ht="18.75">
      <c r="A373" s="121"/>
      <c r="B373" s="121"/>
      <c r="C373" s="121"/>
      <c r="D373" s="121"/>
      <c r="E373" s="121"/>
      <c r="F373" s="24"/>
      <c r="G373" s="121"/>
      <c r="H373" s="24"/>
      <c r="I373" s="24"/>
      <c r="J373" s="121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</row>
    <row r="374" spans="1:25" ht="18.75">
      <c r="A374" s="121"/>
      <c r="B374" s="121"/>
      <c r="C374" s="121"/>
      <c r="D374" s="121"/>
      <c r="E374" s="121"/>
      <c r="F374" s="24"/>
      <c r="G374" s="121"/>
      <c r="H374" s="24"/>
      <c r="I374" s="24"/>
      <c r="J374" s="121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</row>
    <row r="375" spans="1:25" ht="18.75">
      <c r="A375" s="121"/>
      <c r="B375" s="121"/>
      <c r="C375" s="121"/>
      <c r="D375" s="121"/>
      <c r="E375" s="121"/>
      <c r="F375" s="24"/>
      <c r="G375" s="121"/>
      <c r="H375" s="24"/>
      <c r="I375" s="24"/>
      <c r="J375" s="121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</row>
    <row r="376" spans="1:25" ht="18.75">
      <c r="A376" s="121"/>
      <c r="B376" s="121"/>
      <c r="C376" s="121"/>
      <c r="D376" s="121"/>
      <c r="E376" s="121"/>
      <c r="F376" s="24"/>
      <c r="G376" s="121"/>
      <c r="H376" s="24"/>
      <c r="I376" s="24"/>
      <c r="J376" s="121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</row>
    <row r="377" spans="1:25" ht="18.75">
      <c r="A377" s="121"/>
      <c r="B377" s="121"/>
      <c r="C377" s="121"/>
      <c r="D377" s="121"/>
      <c r="E377" s="121"/>
      <c r="F377" s="24"/>
      <c r="G377" s="121"/>
      <c r="H377" s="24"/>
      <c r="I377" s="24"/>
      <c r="J377" s="121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</row>
    <row r="378" spans="1:25" ht="18.75">
      <c r="A378" s="121"/>
      <c r="B378" s="121"/>
      <c r="C378" s="121"/>
      <c r="D378" s="121"/>
      <c r="E378" s="121"/>
      <c r="F378" s="24"/>
      <c r="G378" s="121"/>
      <c r="H378" s="24"/>
      <c r="I378" s="24"/>
      <c r="J378" s="121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</row>
    <row r="379" spans="1:25" ht="18.75">
      <c r="A379" s="121"/>
      <c r="B379" s="121"/>
      <c r="C379" s="121"/>
      <c r="D379" s="121"/>
      <c r="E379" s="121"/>
      <c r="F379" s="24"/>
      <c r="G379" s="121"/>
      <c r="H379" s="24"/>
      <c r="I379" s="24"/>
      <c r="J379" s="121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</row>
    <row r="380" spans="1:25" ht="18.75">
      <c r="A380" s="121"/>
      <c r="B380" s="121"/>
      <c r="C380" s="121"/>
      <c r="D380" s="121"/>
      <c r="E380" s="121"/>
      <c r="F380" s="24"/>
      <c r="G380" s="121"/>
      <c r="H380" s="24"/>
      <c r="I380" s="24"/>
      <c r="J380" s="121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</row>
    <row r="381" spans="1:25" ht="18.75">
      <c r="A381" s="121"/>
      <c r="B381" s="121"/>
      <c r="C381" s="121"/>
      <c r="D381" s="121"/>
      <c r="E381" s="121"/>
      <c r="F381" s="24"/>
      <c r="G381" s="121"/>
      <c r="H381" s="24"/>
      <c r="I381" s="24"/>
      <c r="J381" s="121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</row>
    <row r="382" spans="1:25" ht="18.75">
      <c r="A382" s="121"/>
      <c r="B382" s="121"/>
      <c r="C382" s="121"/>
      <c r="D382" s="121"/>
      <c r="E382" s="121"/>
      <c r="F382" s="24"/>
      <c r="G382" s="121"/>
      <c r="H382" s="24"/>
      <c r="I382" s="24"/>
      <c r="J382" s="121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</row>
    <row r="383" spans="1:25" ht="18.75">
      <c r="A383" s="121"/>
      <c r="B383" s="121"/>
      <c r="C383" s="121"/>
      <c r="D383" s="121"/>
      <c r="E383" s="121"/>
      <c r="F383" s="24"/>
      <c r="G383" s="121"/>
      <c r="H383" s="24"/>
      <c r="I383" s="24"/>
      <c r="J383" s="121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</row>
    <row r="384" spans="1:25" ht="18.75">
      <c r="A384" s="121"/>
      <c r="B384" s="121"/>
      <c r="C384" s="121"/>
      <c r="D384" s="121"/>
      <c r="E384" s="121"/>
      <c r="F384" s="24"/>
      <c r="G384" s="121"/>
      <c r="H384" s="24"/>
      <c r="I384" s="24"/>
      <c r="J384" s="121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</row>
    <row r="385" spans="1:25" ht="18.75">
      <c r="A385" s="121"/>
      <c r="B385" s="121"/>
      <c r="C385" s="121"/>
      <c r="D385" s="121"/>
      <c r="E385" s="121"/>
      <c r="F385" s="24"/>
      <c r="G385" s="121"/>
      <c r="H385" s="24"/>
      <c r="I385" s="24"/>
      <c r="J385" s="121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</row>
    <row r="386" spans="1:25" ht="18.75">
      <c r="A386" s="121"/>
      <c r="B386" s="121"/>
      <c r="C386" s="121"/>
      <c r="D386" s="121"/>
      <c r="E386" s="121"/>
      <c r="F386" s="24"/>
      <c r="G386" s="121"/>
      <c r="H386" s="24"/>
      <c r="I386" s="24"/>
      <c r="J386" s="121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</row>
    <row r="387" spans="1:25" ht="18.75">
      <c r="A387" s="121"/>
      <c r="B387" s="121"/>
      <c r="C387" s="121"/>
      <c r="D387" s="121"/>
      <c r="E387" s="121"/>
      <c r="F387" s="24"/>
      <c r="G387" s="121"/>
      <c r="H387" s="24"/>
      <c r="I387" s="24"/>
      <c r="J387" s="121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</row>
    <row r="388" spans="1:25" ht="18.75">
      <c r="A388" s="121"/>
      <c r="B388" s="121"/>
      <c r="C388" s="121"/>
      <c r="D388" s="121"/>
      <c r="E388" s="121"/>
      <c r="F388" s="24"/>
      <c r="G388" s="121"/>
      <c r="H388" s="24"/>
      <c r="I388" s="24"/>
      <c r="J388" s="121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</row>
    <row r="389" spans="1:25" ht="18.75">
      <c r="A389" s="121"/>
      <c r="B389" s="121"/>
      <c r="C389" s="121"/>
      <c r="D389" s="121"/>
      <c r="E389" s="121"/>
      <c r="F389" s="24"/>
      <c r="G389" s="121"/>
      <c r="H389" s="24"/>
      <c r="I389" s="24"/>
      <c r="J389" s="121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</row>
    <row r="390" spans="1:25" ht="18.75">
      <c r="A390" s="121"/>
      <c r="B390" s="121"/>
      <c r="C390" s="121"/>
      <c r="D390" s="121"/>
      <c r="E390" s="121"/>
      <c r="F390" s="24"/>
      <c r="G390" s="121"/>
      <c r="H390" s="24"/>
      <c r="I390" s="24"/>
      <c r="J390" s="121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</row>
    <row r="391" spans="1:25" ht="18.75">
      <c r="A391" s="121"/>
      <c r="B391" s="121"/>
      <c r="C391" s="121"/>
      <c r="D391" s="121"/>
      <c r="E391" s="121"/>
      <c r="F391" s="24"/>
      <c r="G391" s="121"/>
      <c r="H391" s="24"/>
      <c r="I391" s="24"/>
      <c r="J391" s="121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</row>
    <row r="392" spans="1:25" ht="18.75">
      <c r="A392" s="121"/>
      <c r="B392" s="121"/>
      <c r="C392" s="121"/>
      <c r="D392" s="121"/>
      <c r="E392" s="121"/>
      <c r="F392" s="24"/>
      <c r="G392" s="121"/>
      <c r="H392" s="24"/>
      <c r="I392" s="24"/>
      <c r="J392" s="121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</row>
    <row r="393" spans="1:25" ht="18.75">
      <c r="A393" s="121"/>
      <c r="B393" s="121"/>
      <c r="C393" s="121"/>
      <c r="D393" s="121"/>
      <c r="E393" s="121"/>
      <c r="F393" s="24"/>
      <c r="G393" s="121"/>
      <c r="H393" s="24"/>
      <c r="I393" s="24"/>
      <c r="J393" s="121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</row>
    <row r="394" spans="1:25" ht="18.75">
      <c r="A394" s="121"/>
      <c r="B394" s="121"/>
      <c r="C394" s="121"/>
      <c r="D394" s="121"/>
      <c r="E394" s="121"/>
      <c r="F394" s="24"/>
      <c r="G394" s="121"/>
      <c r="H394" s="24"/>
      <c r="I394" s="24"/>
      <c r="J394" s="121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</row>
    <row r="395" spans="1:25" ht="18.75">
      <c r="A395" s="121"/>
      <c r="B395" s="121"/>
      <c r="C395" s="121"/>
      <c r="D395" s="121"/>
      <c r="E395" s="121"/>
      <c r="F395" s="24"/>
      <c r="G395" s="121"/>
      <c r="H395" s="24"/>
      <c r="I395" s="24"/>
      <c r="J395" s="121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</row>
    <row r="396" spans="1:25" ht="18.75">
      <c r="A396" s="121"/>
      <c r="B396" s="121"/>
      <c r="C396" s="121"/>
      <c r="D396" s="121"/>
      <c r="E396" s="121"/>
      <c r="F396" s="24"/>
      <c r="G396" s="121"/>
      <c r="H396" s="24"/>
      <c r="I396" s="24"/>
      <c r="J396" s="121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</row>
    <row r="397" spans="1:25" ht="18.75">
      <c r="A397" s="121"/>
      <c r="B397" s="121"/>
      <c r="C397" s="121"/>
      <c r="D397" s="121"/>
      <c r="E397" s="121"/>
      <c r="F397" s="24"/>
      <c r="G397" s="121"/>
      <c r="H397" s="24"/>
      <c r="I397" s="24"/>
      <c r="J397" s="121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</row>
    <row r="398" spans="1:25" ht="18.75">
      <c r="A398" s="121"/>
      <c r="B398" s="121"/>
      <c r="C398" s="121"/>
      <c r="D398" s="121"/>
      <c r="E398" s="121"/>
      <c r="F398" s="24"/>
      <c r="G398" s="121"/>
      <c r="H398" s="24"/>
      <c r="I398" s="24"/>
      <c r="J398" s="121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</row>
    <row r="399" spans="1:25" ht="18.75">
      <c r="A399" s="121"/>
      <c r="B399" s="121"/>
      <c r="C399" s="121"/>
      <c r="D399" s="121"/>
      <c r="E399" s="121"/>
      <c r="F399" s="24"/>
      <c r="G399" s="121"/>
      <c r="H399" s="24"/>
      <c r="I399" s="24"/>
      <c r="J399" s="121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</row>
    <row r="400" spans="1:25" ht="18.75">
      <c r="A400" s="121"/>
      <c r="B400" s="121"/>
      <c r="C400" s="121"/>
      <c r="D400" s="121"/>
      <c r="E400" s="121"/>
      <c r="F400" s="24"/>
      <c r="G400" s="121"/>
      <c r="H400" s="24"/>
      <c r="I400" s="24"/>
      <c r="J400" s="121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</row>
    <row r="401" spans="1:25" ht="18.75">
      <c r="A401" s="121"/>
      <c r="B401" s="121"/>
      <c r="C401" s="121"/>
      <c r="D401" s="121"/>
      <c r="E401" s="121"/>
      <c r="F401" s="24"/>
      <c r="G401" s="121"/>
      <c r="H401" s="24"/>
      <c r="I401" s="24"/>
      <c r="J401" s="121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</row>
    <row r="402" spans="1:25" ht="18.75">
      <c r="A402" s="121"/>
      <c r="B402" s="121"/>
      <c r="C402" s="121"/>
      <c r="D402" s="121"/>
      <c r="E402" s="121"/>
      <c r="F402" s="24"/>
      <c r="G402" s="121"/>
      <c r="H402" s="24"/>
      <c r="I402" s="24"/>
      <c r="J402" s="121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</row>
    <row r="403" spans="1:25" ht="18.75">
      <c r="A403" s="121"/>
      <c r="B403" s="121"/>
      <c r="C403" s="121"/>
      <c r="D403" s="121"/>
      <c r="E403" s="121"/>
      <c r="F403" s="24"/>
      <c r="G403" s="121"/>
      <c r="H403" s="24"/>
      <c r="I403" s="24"/>
      <c r="J403" s="121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</row>
    <row r="404" spans="1:25" ht="18.75">
      <c r="A404" s="121"/>
      <c r="B404" s="121"/>
      <c r="C404" s="121"/>
      <c r="D404" s="121"/>
      <c r="E404" s="121"/>
      <c r="F404" s="24"/>
      <c r="G404" s="121"/>
      <c r="H404" s="24"/>
      <c r="I404" s="24"/>
      <c r="J404" s="121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</row>
    <row r="405" spans="1:25" ht="18.75">
      <c r="A405" s="121"/>
      <c r="B405" s="121"/>
      <c r="C405" s="121"/>
      <c r="D405" s="121"/>
      <c r="E405" s="121"/>
      <c r="F405" s="24"/>
      <c r="G405" s="121"/>
      <c r="H405" s="24"/>
      <c r="I405" s="24"/>
      <c r="J405" s="121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</row>
    <row r="406" spans="1:25" ht="18.75">
      <c r="A406" s="121"/>
      <c r="B406" s="121"/>
      <c r="C406" s="121"/>
      <c r="D406" s="121"/>
      <c r="E406" s="121"/>
      <c r="F406" s="24"/>
      <c r="G406" s="121"/>
      <c r="H406" s="24"/>
      <c r="I406" s="24"/>
      <c r="J406" s="121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</row>
    <row r="407" spans="1:25" ht="18.75">
      <c r="A407" s="121"/>
      <c r="B407" s="121"/>
      <c r="C407" s="121"/>
      <c r="D407" s="121"/>
      <c r="E407" s="121"/>
      <c r="F407" s="24"/>
      <c r="G407" s="121"/>
      <c r="H407" s="24"/>
      <c r="I407" s="24"/>
      <c r="J407" s="121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</row>
    <row r="408" spans="1:25" ht="18.75">
      <c r="A408" s="121"/>
      <c r="B408" s="121"/>
      <c r="C408" s="121"/>
      <c r="D408" s="121"/>
      <c r="E408" s="121"/>
      <c r="F408" s="24"/>
      <c r="G408" s="121"/>
      <c r="H408" s="24"/>
      <c r="I408" s="24"/>
      <c r="J408" s="121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</row>
    <row r="409" spans="1:25" ht="18.75">
      <c r="A409" s="121"/>
      <c r="B409" s="121"/>
      <c r="C409" s="121"/>
      <c r="D409" s="121"/>
      <c r="E409" s="121"/>
      <c r="F409" s="24"/>
      <c r="G409" s="121"/>
      <c r="H409" s="24"/>
      <c r="I409" s="24"/>
      <c r="J409" s="121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</row>
    <row r="410" spans="1:25" ht="18.75">
      <c r="A410" s="121"/>
      <c r="B410" s="121"/>
      <c r="C410" s="121"/>
      <c r="D410" s="121"/>
      <c r="E410" s="121"/>
      <c r="F410" s="24"/>
      <c r="G410" s="121"/>
      <c r="H410" s="24"/>
      <c r="I410" s="24"/>
      <c r="J410" s="121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</row>
    <row r="411" spans="1:25" ht="18.75">
      <c r="A411" s="121"/>
      <c r="B411" s="121"/>
      <c r="C411" s="121"/>
      <c r="D411" s="121"/>
      <c r="E411" s="121"/>
      <c r="F411" s="24"/>
      <c r="G411" s="121"/>
      <c r="H411" s="24"/>
      <c r="I411" s="24"/>
      <c r="J411" s="121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</row>
    <row r="412" spans="1:25" ht="18.75">
      <c r="A412" s="121"/>
      <c r="B412" s="121"/>
      <c r="C412" s="121"/>
      <c r="D412" s="121"/>
      <c r="E412" s="121"/>
      <c r="F412" s="24"/>
      <c r="G412" s="121"/>
      <c r="H412" s="24"/>
      <c r="I412" s="24"/>
      <c r="J412" s="121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</row>
    <row r="413" spans="1:25" ht="18.75">
      <c r="A413" s="121"/>
      <c r="B413" s="121"/>
      <c r="C413" s="121"/>
      <c r="D413" s="121"/>
      <c r="E413" s="121"/>
      <c r="F413" s="24"/>
      <c r="G413" s="121"/>
      <c r="H413" s="24"/>
      <c r="I413" s="24"/>
      <c r="J413" s="121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</row>
    <row r="414" spans="1:25" ht="18.75">
      <c r="A414" s="121"/>
      <c r="B414" s="121"/>
      <c r="C414" s="121"/>
      <c r="D414" s="121"/>
      <c r="E414" s="121"/>
      <c r="F414" s="24"/>
      <c r="G414" s="121"/>
      <c r="H414" s="24"/>
      <c r="I414" s="24"/>
      <c r="J414" s="121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</row>
    <row r="415" spans="1:25" ht="18.75">
      <c r="A415" s="121"/>
      <c r="B415" s="121"/>
      <c r="C415" s="121"/>
      <c r="D415" s="121"/>
      <c r="E415" s="121"/>
      <c r="F415" s="24"/>
      <c r="G415" s="121"/>
      <c r="H415" s="24"/>
      <c r="I415" s="24"/>
      <c r="J415" s="121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</row>
    <row r="416" spans="1:25" ht="18.75">
      <c r="A416" s="121"/>
      <c r="B416" s="121"/>
      <c r="C416" s="121"/>
      <c r="D416" s="121"/>
      <c r="E416" s="121"/>
      <c r="F416" s="24"/>
      <c r="G416" s="121"/>
      <c r="H416" s="24"/>
      <c r="I416" s="24"/>
      <c r="J416" s="121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</row>
    <row r="417" spans="1:25" ht="18.75">
      <c r="A417" s="121"/>
      <c r="B417" s="121"/>
      <c r="C417" s="121"/>
      <c r="D417" s="121"/>
      <c r="E417" s="121"/>
      <c r="F417" s="24"/>
      <c r="G417" s="121"/>
      <c r="H417" s="24"/>
      <c r="I417" s="24"/>
      <c r="J417" s="121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</row>
    <row r="418" spans="1:25" ht="18.75">
      <c r="A418" s="121"/>
      <c r="B418" s="121"/>
      <c r="C418" s="121"/>
      <c r="D418" s="121"/>
      <c r="E418" s="121"/>
      <c r="F418" s="24"/>
      <c r="G418" s="121"/>
      <c r="H418" s="24"/>
      <c r="I418" s="24"/>
      <c r="J418" s="121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</row>
    <row r="419" spans="1:25" ht="18.75">
      <c r="A419" s="121"/>
      <c r="B419" s="121"/>
      <c r="C419" s="121"/>
      <c r="D419" s="121"/>
      <c r="E419" s="121"/>
      <c r="F419" s="24"/>
      <c r="G419" s="121"/>
      <c r="H419" s="24"/>
      <c r="I419" s="24"/>
      <c r="J419" s="121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</row>
    <row r="420" spans="1:25" ht="18.75">
      <c r="A420" s="121"/>
      <c r="B420" s="121"/>
      <c r="C420" s="121"/>
      <c r="D420" s="121"/>
      <c r="E420" s="121"/>
      <c r="F420" s="24"/>
      <c r="G420" s="121"/>
      <c r="H420" s="24"/>
      <c r="I420" s="24"/>
      <c r="J420" s="121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</row>
    <row r="421" spans="1:25" ht="18.75">
      <c r="A421" s="121"/>
      <c r="B421" s="121"/>
      <c r="C421" s="121"/>
      <c r="D421" s="121"/>
      <c r="E421" s="121"/>
      <c r="F421" s="24"/>
      <c r="G421" s="121"/>
      <c r="H421" s="24"/>
      <c r="I421" s="24"/>
      <c r="J421" s="121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</row>
    <row r="422" spans="1:25" ht="18.75">
      <c r="A422" s="121"/>
      <c r="B422" s="121"/>
      <c r="C422" s="121"/>
      <c r="D422" s="121"/>
      <c r="E422" s="121"/>
      <c r="F422" s="24"/>
      <c r="G422" s="121"/>
      <c r="H422" s="24"/>
      <c r="I422" s="24"/>
      <c r="J422" s="121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</row>
    <row r="423" spans="1:25" ht="18.75">
      <c r="A423" s="121"/>
      <c r="B423" s="121"/>
      <c r="C423" s="121"/>
      <c r="D423" s="121"/>
      <c r="E423" s="121"/>
      <c r="F423" s="24"/>
      <c r="G423" s="121"/>
      <c r="H423" s="24"/>
      <c r="I423" s="24"/>
      <c r="J423" s="121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</row>
    <row r="424" spans="1:25" ht="18.75">
      <c r="A424" s="121"/>
      <c r="B424" s="121"/>
      <c r="C424" s="121"/>
      <c r="D424" s="121"/>
      <c r="E424" s="121"/>
      <c r="F424" s="24"/>
      <c r="G424" s="121"/>
      <c r="H424" s="24"/>
      <c r="I424" s="24"/>
      <c r="J424" s="121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</row>
    <row r="425" spans="1:25" ht="18.75">
      <c r="A425" s="121"/>
      <c r="B425" s="121"/>
      <c r="C425" s="121"/>
      <c r="D425" s="121"/>
      <c r="E425" s="121"/>
      <c r="F425" s="24"/>
      <c r="G425" s="121"/>
      <c r="H425" s="24"/>
      <c r="I425" s="24"/>
      <c r="J425" s="121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</row>
    <row r="426" spans="1:25" ht="18.75">
      <c r="A426" s="121"/>
      <c r="B426" s="121"/>
      <c r="C426" s="121"/>
      <c r="D426" s="121"/>
      <c r="E426" s="121"/>
      <c r="F426" s="24"/>
      <c r="G426" s="121"/>
      <c r="H426" s="24"/>
      <c r="I426" s="24"/>
      <c r="J426" s="121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</row>
    <row r="427" spans="1:25" ht="18.75">
      <c r="A427" s="121"/>
      <c r="B427" s="121"/>
      <c r="C427" s="121"/>
      <c r="D427" s="121"/>
      <c r="E427" s="121"/>
      <c r="F427" s="24"/>
      <c r="G427" s="121"/>
      <c r="H427" s="24"/>
      <c r="I427" s="24"/>
      <c r="J427" s="121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</row>
    <row r="428" spans="1:25" ht="18.75">
      <c r="A428" s="121"/>
      <c r="B428" s="121"/>
      <c r="C428" s="121"/>
      <c r="D428" s="121"/>
      <c r="E428" s="121"/>
      <c r="F428" s="24"/>
      <c r="G428" s="121"/>
      <c r="H428" s="24"/>
      <c r="I428" s="24"/>
      <c r="J428" s="121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</row>
    <row r="429" spans="1:25" ht="18.75">
      <c r="A429" s="121"/>
      <c r="B429" s="121"/>
      <c r="C429" s="121"/>
      <c r="D429" s="121"/>
      <c r="E429" s="121"/>
      <c r="F429" s="24"/>
      <c r="G429" s="121"/>
      <c r="H429" s="24"/>
      <c r="I429" s="24"/>
      <c r="J429" s="121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</row>
    <row r="430" spans="1:25" ht="18.75">
      <c r="A430" s="121"/>
      <c r="B430" s="121"/>
      <c r="C430" s="121"/>
      <c r="D430" s="121"/>
      <c r="E430" s="121"/>
      <c r="F430" s="24"/>
      <c r="G430" s="121"/>
      <c r="H430" s="24"/>
      <c r="I430" s="24"/>
      <c r="J430" s="121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</row>
    <row r="431" spans="1:25" ht="18.75">
      <c r="A431" s="121"/>
      <c r="B431" s="121"/>
      <c r="C431" s="121"/>
      <c r="D431" s="121"/>
      <c r="E431" s="121"/>
      <c r="F431" s="24"/>
      <c r="G431" s="121"/>
      <c r="H431" s="24"/>
      <c r="I431" s="24"/>
      <c r="J431" s="121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</row>
    <row r="432" spans="1:25" ht="18.75">
      <c r="A432" s="121"/>
      <c r="B432" s="121"/>
      <c r="C432" s="121"/>
      <c r="D432" s="121"/>
      <c r="E432" s="121"/>
      <c r="F432" s="24"/>
      <c r="G432" s="121"/>
      <c r="H432" s="24"/>
      <c r="I432" s="24"/>
      <c r="J432" s="121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</row>
    <row r="433" spans="1:25" ht="18.75">
      <c r="A433" s="121"/>
      <c r="B433" s="121"/>
      <c r="C433" s="121"/>
      <c r="D433" s="121"/>
      <c r="E433" s="121"/>
      <c r="F433" s="24"/>
      <c r="G433" s="121"/>
      <c r="H433" s="24"/>
      <c r="I433" s="24"/>
      <c r="J433" s="121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</row>
    <row r="434" spans="1:25" ht="18.75">
      <c r="A434" s="121"/>
      <c r="B434" s="121"/>
      <c r="C434" s="121"/>
      <c r="D434" s="121"/>
      <c r="E434" s="121"/>
      <c r="F434" s="24"/>
      <c r="G434" s="121"/>
      <c r="H434" s="24"/>
      <c r="I434" s="24"/>
      <c r="J434" s="121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</row>
    <row r="435" spans="1:25" ht="18.75">
      <c r="A435" s="121"/>
      <c r="B435" s="121"/>
      <c r="C435" s="121"/>
      <c r="D435" s="121"/>
      <c r="E435" s="121"/>
      <c r="F435" s="24"/>
      <c r="G435" s="121"/>
      <c r="H435" s="24"/>
      <c r="I435" s="24"/>
      <c r="J435" s="121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</row>
    <row r="436" spans="1:25" ht="18.75">
      <c r="A436" s="121"/>
      <c r="B436" s="121"/>
      <c r="C436" s="121"/>
      <c r="D436" s="121"/>
      <c r="E436" s="121"/>
      <c r="F436" s="24"/>
      <c r="G436" s="121"/>
      <c r="H436" s="24"/>
      <c r="I436" s="24"/>
      <c r="J436" s="121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</row>
    <row r="437" spans="1:25" ht="18.75">
      <c r="A437" s="121"/>
      <c r="B437" s="121"/>
      <c r="C437" s="121"/>
      <c r="D437" s="121"/>
      <c r="E437" s="121"/>
      <c r="F437" s="24"/>
      <c r="G437" s="121"/>
      <c r="H437" s="24"/>
      <c r="I437" s="24"/>
      <c r="J437" s="121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</row>
    <row r="438" spans="1:25" ht="18.75">
      <c r="A438" s="121"/>
      <c r="B438" s="121"/>
      <c r="C438" s="121"/>
      <c r="D438" s="121"/>
      <c r="E438" s="121"/>
      <c r="F438" s="24"/>
      <c r="G438" s="121"/>
      <c r="H438" s="24"/>
      <c r="I438" s="24"/>
      <c r="J438" s="121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</row>
    <row r="439" spans="1:25" ht="18.75">
      <c r="A439" s="121"/>
      <c r="B439" s="121"/>
      <c r="C439" s="121"/>
      <c r="D439" s="121"/>
      <c r="E439" s="121"/>
      <c r="F439" s="24"/>
      <c r="G439" s="121"/>
      <c r="H439" s="24"/>
      <c r="I439" s="24"/>
      <c r="J439" s="121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</row>
    <row r="440" spans="1:25" ht="18.75">
      <c r="A440" s="121"/>
      <c r="B440" s="121"/>
      <c r="C440" s="121"/>
      <c r="D440" s="121"/>
      <c r="E440" s="121"/>
      <c r="F440" s="24"/>
      <c r="G440" s="121"/>
      <c r="H440" s="24"/>
      <c r="I440" s="24"/>
      <c r="J440" s="121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</row>
    <row r="441" spans="1:25" ht="18.75">
      <c r="A441" s="121"/>
      <c r="B441" s="121"/>
      <c r="C441" s="121"/>
      <c r="D441" s="121"/>
      <c r="E441" s="121"/>
      <c r="F441" s="24"/>
      <c r="G441" s="121"/>
      <c r="H441" s="24"/>
      <c r="I441" s="24"/>
      <c r="J441" s="121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</row>
    <row r="442" spans="1:25" ht="18.75">
      <c r="A442" s="121"/>
      <c r="B442" s="121"/>
      <c r="C442" s="121"/>
      <c r="D442" s="121"/>
      <c r="E442" s="121"/>
      <c r="F442" s="24"/>
      <c r="G442" s="121"/>
      <c r="H442" s="24"/>
      <c r="I442" s="24"/>
      <c r="J442" s="121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</row>
    <row r="443" spans="1:25" ht="18.75">
      <c r="A443" s="121"/>
      <c r="B443" s="121"/>
      <c r="C443" s="121"/>
      <c r="D443" s="121"/>
      <c r="E443" s="121"/>
      <c r="F443" s="24"/>
      <c r="G443" s="121"/>
      <c r="H443" s="24"/>
      <c r="I443" s="24"/>
      <c r="J443" s="121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</row>
    <row r="444" spans="1:25" ht="18.75">
      <c r="A444" s="121"/>
      <c r="B444" s="121"/>
      <c r="C444" s="121"/>
      <c r="D444" s="121"/>
      <c r="E444" s="121"/>
      <c r="F444" s="24"/>
      <c r="G444" s="121"/>
      <c r="H444" s="24"/>
      <c r="I444" s="24"/>
      <c r="J444" s="121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</row>
    <row r="445" spans="1:25" ht="18.75">
      <c r="A445" s="121"/>
      <c r="B445" s="121"/>
      <c r="C445" s="121"/>
      <c r="D445" s="121"/>
      <c r="E445" s="121"/>
      <c r="F445" s="24"/>
      <c r="G445" s="121"/>
      <c r="H445" s="24"/>
      <c r="I445" s="24"/>
      <c r="J445" s="121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</row>
    <row r="446" spans="1:25" ht="18.75">
      <c r="A446" s="121"/>
      <c r="B446" s="121"/>
      <c r="C446" s="121"/>
      <c r="D446" s="121"/>
      <c r="E446" s="121"/>
      <c r="F446" s="24"/>
      <c r="G446" s="121"/>
      <c r="H446" s="24"/>
      <c r="I446" s="24"/>
      <c r="J446" s="121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</row>
    <row r="447" spans="1:25" ht="18.75">
      <c r="A447" s="121"/>
      <c r="B447" s="121"/>
      <c r="C447" s="121"/>
      <c r="D447" s="121"/>
      <c r="E447" s="121"/>
      <c r="F447" s="24"/>
      <c r="G447" s="121"/>
      <c r="H447" s="24"/>
      <c r="I447" s="24"/>
      <c r="J447" s="121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</row>
    <row r="448" spans="1:25" ht="18.75">
      <c r="A448" s="121"/>
      <c r="B448" s="121"/>
      <c r="C448" s="121"/>
      <c r="D448" s="121"/>
      <c r="E448" s="121"/>
      <c r="F448" s="24"/>
      <c r="G448" s="121"/>
      <c r="H448" s="24"/>
      <c r="I448" s="24"/>
      <c r="J448" s="121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</row>
    <row r="449" spans="1:25" ht="18.75">
      <c r="A449" s="121"/>
      <c r="B449" s="121"/>
      <c r="C449" s="121"/>
      <c r="D449" s="121"/>
      <c r="E449" s="121"/>
      <c r="F449" s="24"/>
      <c r="G449" s="121"/>
      <c r="H449" s="24"/>
      <c r="I449" s="24"/>
      <c r="J449" s="121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</row>
    <row r="450" spans="1:25" ht="18.75">
      <c r="A450" s="121"/>
      <c r="B450" s="121"/>
      <c r="C450" s="121"/>
      <c r="D450" s="121"/>
      <c r="E450" s="121"/>
      <c r="F450" s="24"/>
      <c r="G450" s="121"/>
      <c r="H450" s="24"/>
      <c r="I450" s="24"/>
      <c r="J450" s="121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</row>
    <row r="451" spans="1:25" ht="18.75">
      <c r="A451" s="121"/>
      <c r="B451" s="121"/>
      <c r="C451" s="121"/>
      <c r="D451" s="121"/>
      <c r="E451" s="121"/>
      <c r="F451" s="24"/>
      <c r="G451" s="121"/>
      <c r="H451" s="24"/>
      <c r="I451" s="24"/>
      <c r="J451" s="121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</row>
    <row r="452" spans="1:25" ht="18.75">
      <c r="A452" s="121"/>
      <c r="B452" s="121"/>
      <c r="C452" s="121"/>
      <c r="D452" s="121"/>
      <c r="E452" s="121"/>
      <c r="F452" s="24"/>
      <c r="G452" s="121"/>
      <c r="H452" s="24"/>
      <c r="I452" s="24"/>
      <c r="J452" s="121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</row>
    <row r="453" spans="1:25" ht="18.75">
      <c r="A453" s="121"/>
      <c r="B453" s="121"/>
      <c r="C453" s="121"/>
      <c r="D453" s="121"/>
      <c r="E453" s="121"/>
      <c r="F453" s="24"/>
      <c r="G453" s="121"/>
      <c r="H453" s="24"/>
      <c r="I453" s="24"/>
      <c r="J453" s="121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</row>
    <row r="454" spans="1:25" ht="18.75">
      <c r="A454" s="121"/>
      <c r="B454" s="121"/>
      <c r="C454" s="121"/>
      <c r="D454" s="121"/>
      <c r="E454" s="121"/>
      <c r="F454" s="24"/>
      <c r="G454" s="121"/>
      <c r="H454" s="24"/>
      <c r="I454" s="24"/>
      <c r="J454" s="121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</row>
    <row r="455" spans="1:25" ht="18.75">
      <c r="A455" s="121"/>
      <c r="B455" s="121"/>
      <c r="C455" s="121"/>
      <c r="D455" s="121"/>
      <c r="E455" s="121"/>
      <c r="F455" s="24"/>
      <c r="G455" s="121"/>
      <c r="H455" s="24"/>
      <c r="I455" s="24"/>
      <c r="J455" s="121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</row>
    <row r="456" spans="1:25" ht="18.75">
      <c r="A456" s="121"/>
      <c r="B456" s="121"/>
      <c r="C456" s="121"/>
      <c r="D456" s="121"/>
      <c r="E456" s="121"/>
      <c r="F456" s="24"/>
      <c r="G456" s="121"/>
      <c r="H456" s="24"/>
      <c r="I456" s="24"/>
      <c r="J456" s="121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</row>
    <row r="457" spans="1:25" ht="18.75">
      <c r="A457" s="121"/>
      <c r="B457" s="121"/>
      <c r="C457" s="121"/>
      <c r="D457" s="121"/>
      <c r="E457" s="121"/>
      <c r="F457" s="24"/>
      <c r="G457" s="121"/>
      <c r="H457" s="24"/>
      <c r="I457" s="24"/>
      <c r="J457" s="121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</row>
    <row r="458" spans="1:25" ht="18.75">
      <c r="A458" s="121"/>
      <c r="B458" s="121"/>
      <c r="C458" s="121"/>
      <c r="D458" s="121"/>
      <c r="E458" s="121"/>
      <c r="F458" s="24"/>
      <c r="G458" s="121"/>
      <c r="H458" s="24"/>
      <c r="I458" s="24"/>
      <c r="J458" s="121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</row>
    <row r="459" spans="1:25" ht="18.75">
      <c r="A459" s="121"/>
      <c r="B459" s="121"/>
      <c r="C459" s="121"/>
      <c r="D459" s="121"/>
      <c r="E459" s="121"/>
      <c r="F459" s="24"/>
      <c r="G459" s="121"/>
      <c r="H459" s="24"/>
      <c r="I459" s="24"/>
      <c r="J459" s="121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</row>
    <row r="460" spans="1:25" ht="18.75">
      <c r="A460" s="121"/>
      <c r="B460" s="121"/>
      <c r="C460" s="121"/>
      <c r="D460" s="121"/>
      <c r="E460" s="121"/>
      <c r="F460" s="24"/>
      <c r="G460" s="121"/>
      <c r="H460" s="24"/>
      <c r="I460" s="24"/>
      <c r="J460" s="121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</row>
    <row r="461" spans="1:25" ht="18.75">
      <c r="A461" s="121"/>
      <c r="B461" s="121"/>
      <c r="C461" s="121"/>
      <c r="D461" s="121"/>
      <c r="E461" s="121"/>
      <c r="F461" s="24"/>
      <c r="G461" s="121"/>
      <c r="H461" s="24"/>
      <c r="I461" s="24"/>
      <c r="J461" s="121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</row>
    <row r="462" spans="1:25" ht="18.75">
      <c r="A462" s="121"/>
      <c r="B462" s="121"/>
      <c r="C462" s="121"/>
      <c r="D462" s="121"/>
      <c r="E462" s="121"/>
      <c r="F462" s="24"/>
      <c r="G462" s="121"/>
      <c r="H462" s="24"/>
      <c r="I462" s="24"/>
      <c r="J462" s="121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</row>
    <row r="463" spans="1:25" ht="18.75">
      <c r="A463" s="121"/>
      <c r="B463" s="121"/>
      <c r="C463" s="121"/>
      <c r="D463" s="121"/>
      <c r="E463" s="121"/>
      <c r="F463" s="24"/>
      <c r="G463" s="121"/>
      <c r="H463" s="24"/>
      <c r="I463" s="24"/>
      <c r="J463" s="121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</row>
    <row r="464" spans="1:25" ht="18.75">
      <c r="A464" s="121"/>
      <c r="B464" s="121"/>
      <c r="C464" s="121"/>
      <c r="D464" s="121"/>
      <c r="E464" s="121"/>
      <c r="F464" s="24"/>
      <c r="G464" s="121"/>
      <c r="H464" s="24"/>
      <c r="I464" s="24"/>
      <c r="J464" s="121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</row>
    <row r="465" spans="1:25" ht="18.75">
      <c r="A465" s="121"/>
      <c r="B465" s="121"/>
      <c r="C465" s="121"/>
      <c r="D465" s="121"/>
      <c r="E465" s="121"/>
      <c r="F465" s="24"/>
      <c r="G465" s="121"/>
      <c r="H465" s="24"/>
      <c r="I465" s="24"/>
      <c r="J465" s="121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</row>
    <row r="466" spans="1:25" ht="18.75">
      <c r="A466" s="121"/>
      <c r="B466" s="121"/>
      <c r="C466" s="121"/>
      <c r="D466" s="121"/>
      <c r="E466" s="121"/>
      <c r="F466" s="24"/>
      <c r="G466" s="121"/>
      <c r="H466" s="24"/>
      <c r="I466" s="24"/>
      <c r="J466" s="121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</row>
    <row r="467" spans="1:25" ht="18.75">
      <c r="A467" s="121"/>
      <c r="B467" s="121"/>
      <c r="C467" s="121"/>
      <c r="D467" s="121"/>
      <c r="E467" s="121"/>
      <c r="F467" s="24"/>
      <c r="G467" s="121"/>
      <c r="H467" s="24"/>
      <c r="I467" s="24"/>
      <c r="J467" s="121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</row>
    <row r="468" spans="1:25" ht="18.75">
      <c r="A468" s="121"/>
      <c r="B468" s="121"/>
      <c r="C468" s="121"/>
      <c r="D468" s="121"/>
      <c r="E468" s="121"/>
      <c r="F468" s="24"/>
      <c r="G468" s="121"/>
      <c r="H468" s="24"/>
      <c r="I468" s="24"/>
      <c r="J468" s="121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</row>
    <row r="469" spans="1:25" ht="18.75">
      <c r="A469" s="121"/>
      <c r="B469" s="121"/>
      <c r="C469" s="121"/>
      <c r="D469" s="121"/>
      <c r="E469" s="121"/>
      <c r="F469" s="24"/>
      <c r="G469" s="121"/>
      <c r="H469" s="24"/>
      <c r="I469" s="24"/>
      <c r="J469" s="121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</row>
    <row r="470" spans="1:25" ht="18.75">
      <c r="A470" s="121"/>
      <c r="B470" s="121"/>
      <c r="C470" s="121"/>
      <c r="D470" s="121"/>
      <c r="E470" s="121"/>
      <c r="F470" s="24"/>
      <c r="G470" s="121"/>
      <c r="H470" s="24"/>
      <c r="I470" s="24"/>
      <c r="J470" s="121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</row>
    <row r="471" spans="1:25" ht="18.75">
      <c r="A471" s="121"/>
      <c r="B471" s="121"/>
      <c r="C471" s="121"/>
      <c r="D471" s="121"/>
      <c r="E471" s="121"/>
      <c r="F471" s="24"/>
      <c r="G471" s="121"/>
      <c r="H471" s="24"/>
      <c r="I471" s="24"/>
      <c r="J471" s="121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</row>
    <row r="472" spans="1:25" ht="18.75">
      <c r="A472" s="121"/>
      <c r="B472" s="121"/>
      <c r="C472" s="121"/>
      <c r="D472" s="121"/>
      <c r="E472" s="121"/>
      <c r="F472" s="24"/>
      <c r="G472" s="121"/>
      <c r="H472" s="24"/>
      <c r="I472" s="24"/>
      <c r="J472" s="121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</row>
    <row r="473" spans="1:25" ht="18.75">
      <c r="A473" s="121"/>
      <c r="B473" s="121"/>
      <c r="C473" s="121"/>
      <c r="D473" s="121"/>
      <c r="E473" s="121"/>
      <c r="F473" s="24"/>
      <c r="G473" s="121"/>
      <c r="H473" s="24"/>
      <c r="I473" s="24"/>
      <c r="J473" s="121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</row>
    <row r="474" spans="1:25" ht="18.75">
      <c r="A474" s="121"/>
      <c r="B474" s="121"/>
      <c r="C474" s="121"/>
      <c r="D474" s="121"/>
      <c r="E474" s="121"/>
      <c r="F474" s="24"/>
      <c r="G474" s="121"/>
      <c r="H474" s="24"/>
      <c r="I474" s="24"/>
      <c r="J474" s="121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</row>
    <row r="475" spans="1:25" ht="18.75">
      <c r="A475" s="121"/>
      <c r="B475" s="121"/>
      <c r="C475" s="121"/>
      <c r="D475" s="121"/>
      <c r="E475" s="121"/>
      <c r="F475" s="24"/>
      <c r="G475" s="121"/>
      <c r="H475" s="24"/>
      <c r="I475" s="24"/>
      <c r="J475" s="121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</row>
    <row r="476" spans="1:25" ht="18.75">
      <c r="A476" s="121"/>
      <c r="B476" s="121"/>
      <c r="C476" s="121"/>
      <c r="D476" s="121"/>
      <c r="E476" s="121"/>
      <c r="F476" s="24"/>
      <c r="G476" s="121"/>
      <c r="H476" s="24"/>
      <c r="I476" s="24"/>
      <c r="J476" s="121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</row>
    <row r="477" spans="1:25" ht="18.75">
      <c r="A477" s="121"/>
      <c r="B477" s="121"/>
      <c r="C477" s="121"/>
      <c r="D477" s="121"/>
      <c r="E477" s="121"/>
      <c r="F477" s="24"/>
      <c r="G477" s="121"/>
      <c r="H477" s="24"/>
      <c r="I477" s="24"/>
      <c r="J477" s="121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</row>
    <row r="478" spans="1:25" ht="18.75">
      <c r="A478" s="121"/>
      <c r="B478" s="121"/>
      <c r="C478" s="121"/>
      <c r="D478" s="121"/>
      <c r="E478" s="121"/>
      <c r="F478" s="24"/>
      <c r="G478" s="121"/>
      <c r="H478" s="24"/>
      <c r="I478" s="24"/>
      <c r="J478" s="121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</row>
    <row r="479" spans="1:25" ht="18.75">
      <c r="A479" s="121"/>
      <c r="B479" s="121"/>
      <c r="C479" s="121"/>
      <c r="D479" s="121"/>
      <c r="E479" s="121"/>
      <c r="F479" s="24"/>
      <c r="G479" s="121"/>
      <c r="H479" s="24"/>
      <c r="I479" s="24"/>
      <c r="J479" s="121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</row>
    <row r="480" spans="1:25" ht="18.75">
      <c r="A480" s="121"/>
      <c r="B480" s="121"/>
      <c r="C480" s="121"/>
      <c r="D480" s="121"/>
      <c r="E480" s="121"/>
      <c r="F480" s="24"/>
      <c r="G480" s="121"/>
      <c r="H480" s="24"/>
      <c r="I480" s="24"/>
      <c r="J480" s="121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</row>
    <row r="481" spans="1:25" ht="18.75">
      <c r="A481" s="121"/>
      <c r="B481" s="121"/>
      <c r="C481" s="121"/>
      <c r="D481" s="121"/>
      <c r="E481" s="121"/>
      <c r="F481" s="24"/>
      <c r="G481" s="121"/>
      <c r="H481" s="24"/>
      <c r="I481" s="24"/>
      <c r="J481" s="121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</row>
    <row r="482" spans="1:25" ht="18.75">
      <c r="A482" s="121"/>
      <c r="B482" s="121"/>
      <c r="C482" s="121"/>
      <c r="D482" s="121"/>
      <c r="E482" s="121"/>
      <c r="F482" s="24"/>
      <c r="G482" s="121"/>
      <c r="H482" s="24"/>
      <c r="I482" s="24"/>
      <c r="J482" s="121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</row>
    <row r="483" spans="1:25" ht="18.75">
      <c r="A483" s="121"/>
      <c r="B483" s="121"/>
      <c r="C483" s="121"/>
      <c r="D483" s="121"/>
      <c r="E483" s="121"/>
      <c r="F483" s="24"/>
      <c r="G483" s="121"/>
      <c r="H483" s="24"/>
      <c r="I483" s="24"/>
      <c r="J483" s="121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</row>
    <row r="484" spans="1:25" ht="18.75">
      <c r="A484" s="121"/>
      <c r="B484" s="121"/>
      <c r="C484" s="121"/>
      <c r="D484" s="121"/>
      <c r="E484" s="121"/>
      <c r="F484" s="24"/>
      <c r="G484" s="121"/>
      <c r="H484" s="24"/>
      <c r="I484" s="24"/>
      <c r="J484" s="121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</row>
    <row r="485" spans="1:25" ht="18.75">
      <c r="A485" s="121"/>
      <c r="B485" s="121"/>
      <c r="C485" s="121"/>
      <c r="D485" s="121"/>
      <c r="E485" s="121"/>
      <c r="F485" s="24"/>
      <c r="G485" s="121"/>
      <c r="H485" s="24"/>
      <c r="I485" s="24"/>
      <c r="J485" s="121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</row>
    <row r="486" spans="1:25" ht="18.75">
      <c r="A486" s="121"/>
      <c r="B486" s="121"/>
      <c r="C486" s="121"/>
      <c r="D486" s="121"/>
      <c r="E486" s="121"/>
      <c r="F486" s="24"/>
      <c r="G486" s="121"/>
      <c r="H486" s="24"/>
      <c r="I486" s="24"/>
      <c r="J486" s="121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</row>
    <row r="487" spans="1:25" ht="18.75">
      <c r="A487" s="121"/>
      <c r="B487" s="121"/>
      <c r="C487" s="121"/>
      <c r="D487" s="121"/>
      <c r="E487" s="121"/>
      <c r="F487" s="24"/>
      <c r="G487" s="121"/>
      <c r="H487" s="24"/>
      <c r="I487" s="24"/>
      <c r="J487" s="121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</row>
    <row r="488" spans="1:25" ht="18.75">
      <c r="A488" s="121"/>
      <c r="B488" s="121"/>
      <c r="C488" s="121"/>
      <c r="D488" s="121"/>
      <c r="E488" s="121"/>
      <c r="F488" s="24"/>
      <c r="G488" s="121"/>
      <c r="H488" s="24"/>
      <c r="I488" s="24"/>
      <c r="J488" s="121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</row>
    <row r="489" spans="1:25" ht="18.75">
      <c r="A489" s="121"/>
      <c r="B489" s="121"/>
      <c r="C489" s="121"/>
      <c r="D489" s="121"/>
      <c r="E489" s="121"/>
      <c r="F489" s="24"/>
      <c r="G489" s="121"/>
      <c r="H489" s="24"/>
      <c r="I489" s="24"/>
      <c r="J489" s="121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</row>
    <row r="490" spans="1:25" ht="18.75">
      <c r="A490" s="121"/>
      <c r="B490" s="121"/>
      <c r="C490" s="121"/>
      <c r="D490" s="121"/>
      <c r="E490" s="121"/>
      <c r="F490" s="24"/>
      <c r="G490" s="121"/>
      <c r="H490" s="24"/>
      <c r="I490" s="24"/>
      <c r="J490" s="121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</row>
    <row r="491" spans="1:25" ht="18.75">
      <c r="A491" s="121"/>
      <c r="B491" s="121"/>
      <c r="C491" s="121"/>
      <c r="D491" s="121"/>
      <c r="E491" s="121"/>
      <c r="F491" s="24"/>
      <c r="G491" s="121"/>
      <c r="H491" s="24"/>
      <c r="I491" s="24"/>
      <c r="J491" s="121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</row>
    <row r="492" spans="1:25" ht="18.75">
      <c r="A492" s="121"/>
      <c r="B492" s="121"/>
      <c r="C492" s="121"/>
      <c r="D492" s="121"/>
      <c r="E492" s="121"/>
      <c r="F492" s="24"/>
      <c r="G492" s="121"/>
      <c r="H492" s="24"/>
      <c r="I492" s="24"/>
      <c r="J492" s="121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</row>
    <row r="493" spans="1:25" ht="18.75">
      <c r="A493" s="121"/>
      <c r="B493" s="121"/>
      <c r="C493" s="121"/>
      <c r="D493" s="121"/>
      <c r="E493" s="121"/>
      <c r="F493" s="24"/>
      <c r="G493" s="121"/>
      <c r="H493" s="24"/>
      <c r="I493" s="24"/>
      <c r="J493" s="121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</row>
    <row r="494" spans="1:25" ht="18.75">
      <c r="A494" s="121"/>
      <c r="B494" s="121"/>
      <c r="C494" s="121"/>
      <c r="D494" s="121"/>
      <c r="E494" s="121"/>
      <c r="F494" s="24"/>
      <c r="G494" s="121"/>
      <c r="H494" s="24"/>
      <c r="I494" s="24"/>
      <c r="J494" s="121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</row>
    <row r="495" spans="1:25" ht="18.75">
      <c r="A495" s="121"/>
      <c r="B495" s="121"/>
      <c r="C495" s="121"/>
      <c r="D495" s="121"/>
      <c r="E495" s="121"/>
      <c r="F495" s="24"/>
      <c r="G495" s="121"/>
      <c r="H495" s="24"/>
      <c r="I495" s="24"/>
      <c r="J495" s="121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</row>
    <row r="496" spans="1:25" ht="18.75">
      <c r="A496" s="121"/>
      <c r="B496" s="121"/>
      <c r="C496" s="121"/>
      <c r="D496" s="121"/>
      <c r="E496" s="121"/>
      <c r="F496" s="24"/>
      <c r="G496" s="121"/>
      <c r="H496" s="24"/>
      <c r="I496" s="24"/>
      <c r="J496" s="121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</row>
    <row r="497" spans="1:25" ht="18.75">
      <c r="A497" s="121"/>
      <c r="B497" s="121"/>
      <c r="C497" s="121"/>
      <c r="D497" s="121"/>
      <c r="E497" s="121"/>
      <c r="F497" s="24"/>
      <c r="G497" s="121"/>
      <c r="H497" s="24"/>
      <c r="I497" s="24"/>
      <c r="J497" s="121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</row>
    <row r="498" spans="1:25" ht="18.75">
      <c r="A498" s="121"/>
      <c r="B498" s="121"/>
      <c r="C498" s="121"/>
      <c r="D498" s="121"/>
      <c r="E498" s="121"/>
      <c r="F498" s="24"/>
      <c r="G498" s="121"/>
      <c r="H498" s="24"/>
      <c r="I498" s="24"/>
      <c r="J498" s="121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</row>
    <row r="499" spans="1:25" ht="18.75">
      <c r="A499" s="121"/>
      <c r="B499" s="121"/>
      <c r="C499" s="121"/>
      <c r="D499" s="121"/>
      <c r="E499" s="121"/>
      <c r="F499" s="24"/>
      <c r="G499" s="121"/>
      <c r="H499" s="24"/>
      <c r="I499" s="24"/>
      <c r="J499" s="121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</row>
    <row r="500" spans="1:25" ht="18.75">
      <c r="A500" s="121"/>
      <c r="B500" s="121"/>
      <c r="C500" s="121"/>
      <c r="D500" s="121"/>
      <c r="E500" s="121"/>
      <c r="F500" s="24"/>
      <c r="G500" s="121"/>
      <c r="H500" s="24"/>
      <c r="I500" s="24"/>
      <c r="J500" s="121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</row>
    <row r="501" spans="1:25" ht="18.75">
      <c r="A501" s="121"/>
      <c r="B501" s="121"/>
      <c r="C501" s="121"/>
      <c r="D501" s="121"/>
      <c r="E501" s="121"/>
      <c r="F501" s="24"/>
      <c r="G501" s="121"/>
      <c r="H501" s="24"/>
      <c r="I501" s="24"/>
      <c r="J501" s="121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</row>
    <row r="502" spans="1:25" ht="18.75">
      <c r="A502" s="121"/>
      <c r="B502" s="121"/>
      <c r="C502" s="121"/>
      <c r="D502" s="121"/>
      <c r="E502" s="121"/>
      <c r="F502" s="24"/>
      <c r="G502" s="121"/>
      <c r="H502" s="24"/>
      <c r="I502" s="24"/>
      <c r="J502" s="121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</row>
    <row r="503" spans="1:25" ht="18.75">
      <c r="A503" s="121"/>
      <c r="B503" s="121"/>
      <c r="C503" s="121"/>
      <c r="D503" s="121"/>
      <c r="E503" s="121"/>
      <c r="F503" s="24"/>
      <c r="G503" s="121"/>
      <c r="H503" s="24"/>
      <c r="I503" s="24"/>
      <c r="J503" s="121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</row>
    <row r="504" spans="1:25" ht="18.75">
      <c r="A504" s="121"/>
      <c r="B504" s="121"/>
      <c r="C504" s="121"/>
      <c r="D504" s="121"/>
      <c r="E504" s="121"/>
      <c r="F504" s="24"/>
      <c r="G504" s="121"/>
      <c r="H504" s="24"/>
      <c r="I504" s="24"/>
      <c r="J504" s="121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</row>
    <row r="505" spans="1:25" ht="18.75">
      <c r="A505" s="121"/>
      <c r="B505" s="121"/>
      <c r="C505" s="121"/>
      <c r="D505" s="121"/>
      <c r="E505" s="121"/>
      <c r="F505" s="24"/>
      <c r="G505" s="121"/>
      <c r="H505" s="24"/>
      <c r="I505" s="24"/>
      <c r="J505" s="121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</row>
    <row r="506" spans="1:25" ht="18.75">
      <c r="A506" s="121"/>
      <c r="B506" s="121"/>
      <c r="C506" s="121"/>
      <c r="D506" s="121"/>
      <c r="E506" s="121"/>
      <c r="F506" s="24"/>
      <c r="G506" s="121"/>
      <c r="H506" s="24"/>
      <c r="I506" s="24"/>
      <c r="J506" s="121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</row>
    <row r="507" spans="1:25" ht="18.75">
      <c r="A507" s="121"/>
      <c r="B507" s="121"/>
      <c r="C507" s="121"/>
      <c r="D507" s="121"/>
      <c r="E507" s="121"/>
      <c r="F507" s="24"/>
      <c r="G507" s="121"/>
      <c r="H507" s="24"/>
      <c r="I507" s="24"/>
      <c r="J507" s="121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</row>
    <row r="508" spans="1:25" ht="18.75">
      <c r="A508" s="121"/>
      <c r="B508" s="121"/>
      <c r="C508" s="121"/>
      <c r="D508" s="121"/>
      <c r="E508" s="121"/>
      <c r="F508" s="24"/>
      <c r="G508" s="121"/>
      <c r="H508" s="24"/>
      <c r="I508" s="24"/>
      <c r="J508" s="121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</row>
    <row r="509" spans="1:25" ht="18.75">
      <c r="A509" s="121"/>
      <c r="B509" s="121"/>
      <c r="C509" s="121"/>
      <c r="D509" s="121"/>
      <c r="E509" s="121"/>
      <c r="F509" s="24"/>
      <c r="G509" s="121"/>
      <c r="H509" s="24"/>
      <c r="I509" s="24"/>
      <c r="J509" s="121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</row>
    <row r="510" spans="1:25" ht="18.75">
      <c r="A510" s="121"/>
      <c r="B510" s="121"/>
      <c r="C510" s="121"/>
      <c r="D510" s="121"/>
      <c r="E510" s="121"/>
      <c r="F510" s="24"/>
      <c r="G510" s="121"/>
      <c r="H510" s="24"/>
      <c r="I510" s="24"/>
      <c r="J510" s="121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</row>
    <row r="511" spans="1:25" ht="18.75">
      <c r="A511" s="121"/>
      <c r="B511" s="121"/>
      <c r="C511" s="121"/>
      <c r="D511" s="121"/>
      <c r="E511" s="121"/>
      <c r="F511" s="24"/>
      <c r="G511" s="121"/>
      <c r="H511" s="24"/>
      <c r="I511" s="24"/>
      <c r="J511" s="121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</row>
    <row r="512" spans="1:25" ht="18.75">
      <c r="A512" s="121"/>
      <c r="B512" s="121"/>
      <c r="C512" s="121"/>
      <c r="D512" s="121"/>
      <c r="E512" s="121"/>
      <c r="F512" s="24"/>
      <c r="G512" s="121"/>
      <c r="H512" s="24"/>
      <c r="I512" s="24"/>
      <c r="J512" s="121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</row>
    <row r="513" spans="1:25" ht="18.75">
      <c r="A513" s="121"/>
      <c r="B513" s="121"/>
      <c r="C513" s="121"/>
      <c r="D513" s="121"/>
      <c r="E513" s="121"/>
      <c r="F513" s="24"/>
      <c r="G513" s="121"/>
      <c r="H513" s="24"/>
      <c r="I513" s="24"/>
      <c r="J513" s="121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</row>
    <row r="514" spans="1:25" ht="18.75">
      <c r="A514" s="121"/>
      <c r="B514" s="121"/>
      <c r="C514" s="121"/>
      <c r="D514" s="121"/>
      <c r="E514" s="121"/>
      <c r="F514" s="24"/>
      <c r="G514" s="121"/>
      <c r="H514" s="24"/>
      <c r="I514" s="24"/>
      <c r="J514" s="121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</row>
    <row r="515" spans="1:25" ht="18.75">
      <c r="A515" s="121"/>
      <c r="B515" s="121"/>
      <c r="C515" s="121"/>
      <c r="D515" s="121"/>
      <c r="E515" s="121"/>
      <c r="F515" s="24"/>
      <c r="G515" s="121"/>
      <c r="H515" s="24"/>
      <c r="I515" s="24"/>
      <c r="J515" s="121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</row>
    <row r="516" spans="1:25" ht="18.75">
      <c r="A516" s="121"/>
      <c r="B516" s="121"/>
      <c r="C516" s="121"/>
      <c r="D516" s="121"/>
      <c r="E516" s="121"/>
      <c r="F516" s="24"/>
      <c r="G516" s="121"/>
      <c r="H516" s="24"/>
      <c r="I516" s="24"/>
      <c r="J516" s="121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</row>
    <row r="517" spans="1:25" ht="18.75">
      <c r="A517" s="121"/>
      <c r="B517" s="121"/>
      <c r="C517" s="121"/>
      <c r="D517" s="121"/>
      <c r="E517" s="121"/>
      <c r="F517" s="24"/>
      <c r="G517" s="121"/>
      <c r="H517" s="24"/>
      <c r="I517" s="24"/>
      <c r="J517" s="121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</row>
    <row r="518" spans="1:25" ht="18.75">
      <c r="A518" s="121"/>
      <c r="B518" s="121"/>
      <c r="C518" s="121"/>
      <c r="D518" s="121"/>
      <c r="E518" s="121"/>
      <c r="F518" s="24"/>
      <c r="G518" s="121"/>
      <c r="H518" s="24"/>
      <c r="I518" s="24"/>
      <c r="J518" s="121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</row>
    <row r="519" spans="1:25" ht="18.75">
      <c r="A519" s="121"/>
      <c r="B519" s="121"/>
      <c r="C519" s="121"/>
      <c r="D519" s="121"/>
      <c r="E519" s="121"/>
      <c r="F519" s="24"/>
      <c r="G519" s="121"/>
      <c r="H519" s="24"/>
      <c r="I519" s="24"/>
      <c r="J519" s="121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</row>
    <row r="520" spans="1:25" ht="18.75">
      <c r="A520" s="121"/>
      <c r="B520" s="121"/>
      <c r="C520" s="121"/>
      <c r="D520" s="121"/>
      <c r="E520" s="121"/>
      <c r="F520" s="24"/>
      <c r="G520" s="121"/>
      <c r="H520" s="24"/>
      <c r="I520" s="24"/>
      <c r="J520" s="121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</row>
    <row r="521" spans="1:25" ht="18.75">
      <c r="A521" s="121"/>
      <c r="B521" s="121"/>
      <c r="C521" s="121"/>
      <c r="D521" s="121"/>
      <c r="E521" s="121"/>
      <c r="F521" s="24"/>
      <c r="G521" s="121"/>
      <c r="H521" s="24"/>
      <c r="I521" s="24"/>
      <c r="J521" s="121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</row>
    <row r="522" spans="1:25" ht="18.75">
      <c r="A522" s="121"/>
      <c r="B522" s="121"/>
      <c r="C522" s="121"/>
      <c r="D522" s="121"/>
      <c r="E522" s="121"/>
      <c r="F522" s="24"/>
      <c r="G522" s="121"/>
      <c r="H522" s="24"/>
      <c r="I522" s="24"/>
      <c r="J522" s="121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</row>
    <row r="523" spans="1:25" ht="18.75">
      <c r="A523" s="121"/>
      <c r="B523" s="121"/>
      <c r="C523" s="121"/>
      <c r="D523" s="121"/>
      <c r="E523" s="121"/>
      <c r="F523" s="24"/>
      <c r="G523" s="121"/>
      <c r="H523" s="24"/>
      <c r="I523" s="24"/>
      <c r="J523" s="121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</row>
    <row r="524" spans="1:25" ht="18.75">
      <c r="A524" s="121"/>
      <c r="B524" s="121"/>
      <c r="C524" s="121"/>
      <c r="D524" s="121"/>
      <c r="E524" s="121"/>
      <c r="F524" s="24"/>
      <c r="G524" s="121"/>
      <c r="H524" s="24"/>
      <c r="I524" s="24"/>
      <c r="J524" s="121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</row>
    <row r="525" spans="1:25" ht="18.75">
      <c r="A525" s="121"/>
      <c r="B525" s="121"/>
      <c r="C525" s="121"/>
      <c r="D525" s="121"/>
      <c r="E525" s="121"/>
      <c r="F525" s="24"/>
      <c r="G525" s="121"/>
      <c r="H525" s="24"/>
      <c r="I525" s="24"/>
      <c r="J525" s="121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</row>
    <row r="526" spans="1:25" ht="18.75">
      <c r="A526" s="121"/>
      <c r="B526" s="121"/>
      <c r="C526" s="121"/>
      <c r="D526" s="121"/>
      <c r="E526" s="121"/>
      <c r="F526" s="24"/>
      <c r="G526" s="121"/>
      <c r="H526" s="24"/>
      <c r="I526" s="24"/>
      <c r="J526" s="121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</row>
    <row r="527" spans="1:25" ht="18.75">
      <c r="A527" s="121"/>
      <c r="B527" s="121"/>
      <c r="C527" s="121"/>
      <c r="D527" s="121"/>
      <c r="E527" s="121"/>
      <c r="F527" s="24"/>
      <c r="G527" s="121"/>
      <c r="H527" s="24"/>
      <c r="I527" s="24"/>
      <c r="J527" s="121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</row>
    <row r="528" spans="1:25" ht="18.75">
      <c r="A528" s="121"/>
      <c r="B528" s="121"/>
      <c r="C528" s="121"/>
      <c r="D528" s="121"/>
      <c r="E528" s="121"/>
      <c r="F528" s="24"/>
      <c r="G528" s="121"/>
      <c r="H528" s="24"/>
      <c r="I528" s="24"/>
      <c r="J528" s="121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</row>
    <row r="529" spans="1:25" ht="18.75">
      <c r="A529" s="121"/>
      <c r="B529" s="121"/>
      <c r="C529" s="121"/>
      <c r="D529" s="121"/>
      <c r="E529" s="121"/>
      <c r="F529" s="24"/>
      <c r="G529" s="121"/>
      <c r="H529" s="24"/>
      <c r="I529" s="24"/>
      <c r="J529" s="121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</row>
    <row r="530" spans="1:25" ht="18.75">
      <c r="A530" s="121"/>
      <c r="B530" s="121"/>
      <c r="C530" s="121"/>
      <c r="D530" s="121"/>
      <c r="E530" s="121"/>
      <c r="F530" s="24"/>
      <c r="G530" s="121"/>
      <c r="H530" s="24"/>
      <c r="I530" s="24"/>
      <c r="J530" s="121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</row>
    <row r="531" spans="1:25" ht="18.75">
      <c r="A531" s="121"/>
      <c r="B531" s="121"/>
      <c r="C531" s="121"/>
      <c r="D531" s="121"/>
      <c r="E531" s="121"/>
      <c r="F531" s="24"/>
      <c r="G531" s="121"/>
      <c r="H531" s="24"/>
      <c r="I531" s="24"/>
      <c r="J531" s="121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</row>
    <row r="532" spans="1:25" ht="18.75">
      <c r="A532" s="121"/>
      <c r="B532" s="121"/>
      <c r="C532" s="121"/>
      <c r="D532" s="121"/>
      <c r="E532" s="121"/>
      <c r="F532" s="24"/>
      <c r="G532" s="121"/>
      <c r="H532" s="24"/>
      <c r="I532" s="24"/>
      <c r="J532" s="121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</row>
    <row r="533" spans="1:25" ht="18.75">
      <c r="A533" s="121"/>
      <c r="B533" s="121"/>
      <c r="C533" s="121"/>
      <c r="D533" s="121"/>
      <c r="E533" s="121"/>
      <c r="F533" s="24"/>
      <c r="G533" s="121"/>
      <c r="H533" s="24"/>
      <c r="I533" s="24"/>
      <c r="J533" s="121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</row>
    <row r="534" spans="1:25" ht="18.75">
      <c r="A534" s="121"/>
      <c r="B534" s="121"/>
      <c r="C534" s="121"/>
      <c r="D534" s="121"/>
      <c r="E534" s="121"/>
      <c r="F534" s="24"/>
      <c r="G534" s="121"/>
      <c r="H534" s="24"/>
      <c r="I534" s="24"/>
      <c r="J534" s="121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</row>
    <row r="535" spans="1:25" ht="18.75">
      <c r="A535" s="121"/>
      <c r="B535" s="121"/>
      <c r="C535" s="121"/>
      <c r="D535" s="121"/>
      <c r="E535" s="121"/>
      <c r="F535" s="24"/>
      <c r="G535" s="121"/>
      <c r="H535" s="24"/>
      <c r="I535" s="24"/>
      <c r="J535" s="121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</row>
    <row r="536" spans="1:25" ht="18.75">
      <c r="A536" s="121"/>
      <c r="B536" s="121"/>
      <c r="C536" s="121"/>
      <c r="D536" s="121"/>
      <c r="E536" s="121"/>
      <c r="F536" s="24"/>
      <c r="G536" s="121"/>
      <c r="H536" s="24"/>
      <c r="I536" s="24"/>
      <c r="J536" s="121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</row>
    <row r="537" spans="1:25" ht="18.75">
      <c r="A537" s="121"/>
      <c r="B537" s="121"/>
      <c r="C537" s="121"/>
      <c r="D537" s="121"/>
      <c r="E537" s="121"/>
      <c r="F537" s="24"/>
      <c r="G537" s="121"/>
      <c r="H537" s="24"/>
      <c r="I537" s="24"/>
      <c r="J537" s="121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</row>
    <row r="538" spans="1:25" ht="18.75">
      <c r="A538" s="121"/>
      <c r="B538" s="121"/>
      <c r="C538" s="121"/>
      <c r="D538" s="121"/>
      <c r="E538" s="121"/>
      <c r="F538" s="24"/>
      <c r="G538" s="121"/>
      <c r="H538" s="24"/>
      <c r="I538" s="24"/>
      <c r="J538" s="121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</row>
    <row r="539" spans="1:25" ht="18.75">
      <c r="A539" s="121"/>
      <c r="B539" s="121"/>
      <c r="C539" s="121"/>
      <c r="D539" s="121"/>
      <c r="E539" s="121"/>
      <c r="F539" s="24"/>
      <c r="G539" s="121"/>
      <c r="H539" s="24"/>
      <c r="I539" s="24"/>
      <c r="J539" s="121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</row>
    <row r="540" spans="1:25" ht="18.75">
      <c r="A540" s="121"/>
      <c r="B540" s="121"/>
      <c r="C540" s="121"/>
      <c r="D540" s="121"/>
      <c r="E540" s="121"/>
      <c r="F540" s="24"/>
      <c r="G540" s="121"/>
      <c r="H540" s="24"/>
      <c r="I540" s="24"/>
      <c r="J540" s="121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</row>
    <row r="541" spans="1:25" ht="18.75">
      <c r="A541" s="121"/>
      <c r="B541" s="121"/>
      <c r="C541" s="121"/>
      <c r="D541" s="121"/>
      <c r="E541" s="121"/>
      <c r="F541" s="24"/>
      <c r="G541" s="121"/>
      <c r="H541" s="24"/>
      <c r="I541" s="24"/>
      <c r="J541" s="121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</row>
    <row r="542" spans="1:25" ht="18.75">
      <c r="A542" s="121"/>
      <c r="B542" s="121"/>
      <c r="C542" s="121"/>
      <c r="D542" s="121"/>
      <c r="E542" s="121"/>
      <c r="F542" s="24"/>
      <c r="G542" s="121"/>
      <c r="H542" s="24"/>
      <c r="I542" s="24"/>
      <c r="J542" s="121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</row>
    <row r="543" spans="1:25" ht="18.75">
      <c r="A543" s="121"/>
      <c r="B543" s="121"/>
      <c r="C543" s="121"/>
      <c r="D543" s="121"/>
      <c r="E543" s="121"/>
      <c r="F543" s="24"/>
      <c r="G543" s="121"/>
      <c r="H543" s="24"/>
      <c r="I543" s="24"/>
      <c r="J543" s="121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</row>
    <row r="544" spans="1:25" ht="18.75">
      <c r="A544" s="121"/>
      <c r="B544" s="121"/>
      <c r="C544" s="121"/>
      <c r="D544" s="121"/>
      <c r="E544" s="121"/>
      <c r="F544" s="24"/>
      <c r="G544" s="121"/>
      <c r="H544" s="24"/>
      <c r="I544" s="24"/>
      <c r="J544" s="121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</row>
    <row r="545" spans="1:25" ht="18.75">
      <c r="A545" s="121"/>
      <c r="B545" s="121"/>
      <c r="C545" s="121"/>
      <c r="D545" s="121"/>
      <c r="E545" s="121"/>
      <c r="F545" s="24"/>
      <c r="G545" s="121"/>
      <c r="H545" s="24"/>
      <c r="I545" s="24"/>
      <c r="J545" s="121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</row>
    <row r="546" spans="1:25" ht="18.75">
      <c r="A546" s="121"/>
      <c r="B546" s="121"/>
      <c r="C546" s="121"/>
      <c r="D546" s="121"/>
      <c r="E546" s="121"/>
      <c r="F546" s="24"/>
      <c r="G546" s="121"/>
      <c r="H546" s="24"/>
      <c r="I546" s="24"/>
      <c r="J546" s="121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</row>
    <row r="547" spans="1:25" ht="18.75">
      <c r="A547" s="121"/>
      <c r="B547" s="121"/>
      <c r="C547" s="121"/>
      <c r="D547" s="121"/>
      <c r="E547" s="121"/>
      <c r="F547" s="24"/>
      <c r="G547" s="121"/>
      <c r="H547" s="24"/>
      <c r="I547" s="24"/>
      <c r="J547" s="121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</row>
    <row r="548" spans="1:25" ht="18.75">
      <c r="A548" s="121"/>
      <c r="B548" s="121"/>
      <c r="C548" s="121"/>
      <c r="D548" s="121"/>
      <c r="E548" s="121"/>
      <c r="F548" s="24"/>
      <c r="G548" s="121"/>
      <c r="H548" s="24"/>
      <c r="I548" s="24"/>
      <c r="J548" s="121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</row>
    <row r="549" spans="1:25" ht="18.75">
      <c r="A549" s="121"/>
      <c r="B549" s="121"/>
      <c r="C549" s="121"/>
      <c r="D549" s="121"/>
      <c r="E549" s="121"/>
      <c r="F549" s="24"/>
      <c r="G549" s="121"/>
      <c r="H549" s="24"/>
      <c r="I549" s="24"/>
      <c r="J549" s="121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</row>
    <row r="550" spans="1:25" ht="18.75">
      <c r="A550" s="121"/>
      <c r="B550" s="121"/>
      <c r="C550" s="121"/>
      <c r="D550" s="121"/>
      <c r="E550" s="121"/>
      <c r="F550" s="24"/>
      <c r="G550" s="121"/>
      <c r="H550" s="24"/>
      <c r="I550" s="24"/>
      <c r="J550" s="121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</row>
    <row r="551" spans="1:25" ht="18.75">
      <c r="A551" s="121"/>
      <c r="B551" s="121"/>
      <c r="C551" s="121"/>
      <c r="D551" s="121"/>
      <c r="E551" s="121"/>
      <c r="F551" s="24"/>
      <c r="G551" s="121"/>
      <c r="H551" s="24"/>
      <c r="I551" s="24"/>
      <c r="J551" s="121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</row>
    <row r="552" spans="1:25" ht="18.75">
      <c r="A552" s="121"/>
      <c r="B552" s="121"/>
      <c r="C552" s="121"/>
      <c r="D552" s="121"/>
      <c r="E552" s="121"/>
      <c r="F552" s="24"/>
      <c r="G552" s="121"/>
      <c r="H552" s="24"/>
      <c r="I552" s="24"/>
      <c r="J552" s="121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</row>
    <row r="553" spans="1:25" ht="18.75">
      <c r="A553" s="121"/>
      <c r="B553" s="121"/>
      <c r="C553" s="121"/>
      <c r="D553" s="121"/>
      <c r="E553" s="121"/>
      <c r="F553" s="24"/>
      <c r="G553" s="121"/>
      <c r="H553" s="24"/>
      <c r="I553" s="24"/>
      <c r="J553" s="121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</row>
    <row r="554" spans="1:25" ht="18.75">
      <c r="A554" s="121"/>
      <c r="B554" s="121"/>
      <c r="C554" s="121"/>
      <c r="D554" s="121"/>
      <c r="E554" s="121"/>
      <c r="F554" s="24"/>
      <c r="G554" s="121"/>
      <c r="H554" s="24"/>
      <c r="I554" s="24"/>
      <c r="J554" s="121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</row>
    <row r="555" spans="1:25" ht="18.75">
      <c r="A555" s="121"/>
      <c r="B555" s="121"/>
      <c r="C555" s="121"/>
      <c r="D555" s="121"/>
      <c r="E555" s="121"/>
      <c r="F555" s="24"/>
      <c r="G555" s="121"/>
      <c r="H555" s="24"/>
      <c r="I555" s="24"/>
      <c r="J555" s="121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</row>
    <row r="556" spans="1:25" ht="18.75">
      <c r="A556" s="121"/>
      <c r="B556" s="121"/>
      <c r="C556" s="121"/>
      <c r="D556" s="121"/>
      <c r="E556" s="121"/>
      <c r="F556" s="24"/>
      <c r="G556" s="121"/>
      <c r="H556" s="24"/>
      <c r="I556" s="24"/>
      <c r="J556" s="121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</row>
    <row r="557" spans="1:25" ht="18.75">
      <c r="A557" s="121"/>
      <c r="B557" s="121"/>
      <c r="C557" s="121"/>
      <c r="D557" s="121"/>
      <c r="E557" s="121"/>
      <c r="F557" s="24"/>
      <c r="G557" s="121"/>
      <c r="H557" s="24"/>
      <c r="I557" s="24"/>
      <c r="J557" s="121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</row>
    <row r="558" spans="1:25" ht="18.75">
      <c r="A558" s="121"/>
      <c r="B558" s="121"/>
      <c r="C558" s="121"/>
      <c r="D558" s="121"/>
      <c r="E558" s="121"/>
      <c r="F558" s="24"/>
      <c r="G558" s="121"/>
      <c r="H558" s="24"/>
      <c r="I558" s="24"/>
      <c r="J558" s="121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</row>
    <row r="559" spans="1:25" ht="18.75">
      <c r="A559" s="121"/>
      <c r="B559" s="121"/>
      <c r="C559" s="121"/>
      <c r="D559" s="121"/>
      <c r="E559" s="121"/>
      <c r="F559" s="24"/>
      <c r="G559" s="121"/>
      <c r="H559" s="24"/>
      <c r="I559" s="24"/>
      <c r="J559" s="121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</row>
    <row r="560" spans="1:25" ht="18.75">
      <c r="A560" s="121"/>
      <c r="B560" s="121"/>
      <c r="C560" s="121"/>
      <c r="D560" s="121"/>
      <c r="E560" s="121"/>
      <c r="F560" s="24"/>
      <c r="G560" s="121"/>
      <c r="H560" s="24"/>
      <c r="I560" s="24"/>
      <c r="J560" s="121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</row>
    <row r="561" spans="1:25" ht="18.75">
      <c r="A561" s="121"/>
      <c r="B561" s="121"/>
      <c r="C561" s="121"/>
      <c r="D561" s="121"/>
      <c r="E561" s="121"/>
      <c r="F561" s="24"/>
      <c r="G561" s="121"/>
      <c r="H561" s="24"/>
      <c r="I561" s="24"/>
      <c r="J561" s="121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</row>
    <row r="562" spans="1:25" ht="18.75">
      <c r="A562" s="121"/>
      <c r="B562" s="121"/>
      <c r="C562" s="121"/>
      <c r="D562" s="121"/>
      <c r="E562" s="121"/>
      <c r="F562" s="24"/>
      <c r="G562" s="121"/>
      <c r="H562" s="24"/>
      <c r="I562" s="24"/>
      <c r="J562" s="121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</row>
    <row r="563" spans="1:25" ht="18.75">
      <c r="A563" s="121"/>
      <c r="B563" s="121"/>
      <c r="C563" s="121"/>
      <c r="D563" s="121"/>
      <c r="E563" s="121"/>
      <c r="F563" s="24"/>
      <c r="G563" s="121"/>
      <c r="H563" s="24"/>
      <c r="I563" s="24"/>
      <c r="J563" s="121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</row>
    <row r="564" spans="1:25" ht="18.75">
      <c r="A564" s="121"/>
      <c r="B564" s="121"/>
      <c r="C564" s="121"/>
      <c r="D564" s="121"/>
      <c r="E564" s="121"/>
      <c r="F564" s="24"/>
      <c r="G564" s="121"/>
      <c r="H564" s="24"/>
      <c r="I564" s="24"/>
      <c r="J564" s="121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</row>
    <row r="565" spans="1:25" ht="18.75">
      <c r="A565" s="121"/>
      <c r="B565" s="121"/>
      <c r="C565" s="121"/>
      <c r="D565" s="121"/>
      <c r="E565" s="121"/>
      <c r="F565" s="24"/>
      <c r="G565" s="121"/>
      <c r="H565" s="24"/>
      <c r="I565" s="24"/>
      <c r="J565" s="121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</row>
    <row r="566" spans="1:25" ht="18.75">
      <c r="A566" s="121"/>
      <c r="B566" s="121"/>
      <c r="C566" s="121"/>
      <c r="D566" s="121"/>
      <c r="E566" s="121"/>
      <c r="F566" s="24"/>
      <c r="G566" s="121"/>
      <c r="H566" s="24"/>
      <c r="I566" s="24"/>
      <c r="J566" s="121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</row>
    <row r="567" spans="1:25" ht="18.75">
      <c r="A567" s="121"/>
      <c r="B567" s="121"/>
      <c r="C567" s="121"/>
      <c r="D567" s="121"/>
      <c r="E567" s="121"/>
      <c r="F567" s="24"/>
      <c r="G567" s="121"/>
      <c r="H567" s="24"/>
      <c r="I567" s="24"/>
      <c r="J567" s="121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</row>
    <row r="568" spans="1:25" ht="18.75">
      <c r="A568" s="121"/>
      <c r="B568" s="121"/>
      <c r="C568" s="121"/>
      <c r="D568" s="121"/>
      <c r="E568" s="121"/>
      <c r="F568" s="24"/>
      <c r="G568" s="121"/>
      <c r="H568" s="24"/>
      <c r="I568" s="24"/>
      <c r="J568" s="121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</row>
    <row r="569" spans="1:25" ht="18.75">
      <c r="A569" s="121"/>
      <c r="B569" s="121"/>
      <c r="C569" s="121"/>
      <c r="D569" s="121"/>
      <c r="E569" s="121"/>
      <c r="F569" s="24"/>
      <c r="G569" s="121"/>
      <c r="H569" s="24"/>
      <c r="I569" s="24"/>
      <c r="J569" s="121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</row>
    <row r="570" spans="1:25" ht="18.75">
      <c r="A570" s="121"/>
      <c r="B570" s="121"/>
      <c r="C570" s="121"/>
      <c r="D570" s="121"/>
      <c r="E570" s="121"/>
      <c r="F570" s="24"/>
      <c r="G570" s="121"/>
      <c r="H570" s="24"/>
      <c r="I570" s="24"/>
      <c r="J570" s="121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</row>
    <row r="571" spans="1:25" ht="18.75">
      <c r="A571" s="121"/>
      <c r="B571" s="121"/>
      <c r="C571" s="121"/>
      <c r="D571" s="121"/>
      <c r="E571" s="121"/>
      <c r="F571" s="24"/>
      <c r="G571" s="121"/>
      <c r="H571" s="24"/>
      <c r="I571" s="24"/>
      <c r="J571" s="121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</row>
    <row r="572" spans="1:25" ht="18.75">
      <c r="A572" s="121"/>
      <c r="B572" s="121"/>
      <c r="C572" s="121"/>
      <c r="D572" s="121"/>
      <c r="E572" s="121"/>
      <c r="F572" s="24"/>
      <c r="G572" s="121"/>
      <c r="H572" s="24"/>
      <c r="I572" s="24"/>
      <c r="J572" s="121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</row>
    <row r="573" spans="1:25" ht="18.75">
      <c r="A573" s="121"/>
      <c r="B573" s="121"/>
      <c r="C573" s="121"/>
      <c r="D573" s="121"/>
      <c r="E573" s="121"/>
      <c r="F573" s="24"/>
      <c r="G573" s="121"/>
      <c r="H573" s="24"/>
      <c r="I573" s="24"/>
      <c r="J573" s="121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</row>
    <row r="574" spans="1:25" ht="18.75">
      <c r="A574" s="121"/>
      <c r="B574" s="121"/>
      <c r="C574" s="121"/>
      <c r="D574" s="121"/>
      <c r="E574" s="121"/>
      <c r="F574" s="24"/>
      <c r="G574" s="121"/>
      <c r="H574" s="24"/>
      <c r="I574" s="24"/>
      <c r="J574" s="121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</row>
    <row r="575" spans="1:25" ht="18.75">
      <c r="A575" s="121"/>
      <c r="B575" s="121"/>
      <c r="C575" s="121"/>
      <c r="D575" s="121"/>
      <c r="E575" s="121"/>
      <c r="F575" s="24"/>
      <c r="G575" s="121"/>
      <c r="H575" s="24"/>
      <c r="I575" s="24"/>
      <c r="J575" s="121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</row>
    <row r="576" spans="1:25" ht="18.75">
      <c r="A576" s="121"/>
      <c r="B576" s="121"/>
      <c r="C576" s="121"/>
      <c r="D576" s="121"/>
      <c r="E576" s="121"/>
      <c r="F576" s="24"/>
      <c r="G576" s="121"/>
      <c r="H576" s="24"/>
      <c r="I576" s="24"/>
      <c r="J576" s="121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</row>
    <row r="577" spans="1:25" ht="18.75">
      <c r="A577" s="121"/>
      <c r="B577" s="121"/>
      <c r="C577" s="121"/>
      <c r="D577" s="121"/>
      <c r="E577" s="121"/>
      <c r="F577" s="24"/>
      <c r="G577" s="121"/>
      <c r="H577" s="24"/>
      <c r="I577" s="24"/>
      <c r="J577" s="121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</row>
    <row r="578" spans="1:25" ht="18.75">
      <c r="A578" s="121"/>
      <c r="B578" s="121"/>
      <c r="C578" s="121"/>
      <c r="D578" s="121"/>
      <c r="E578" s="121"/>
      <c r="F578" s="24"/>
      <c r="G578" s="121"/>
      <c r="H578" s="24"/>
      <c r="I578" s="24"/>
      <c r="J578" s="121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</row>
    <row r="579" spans="1:25" ht="18.75">
      <c r="A579" s="121"/>
      <c r="B579" s="121"/>
      <c r="C579" s="121"/>
      <c r="D579" s="121"/>
      <c r="E579" s="121"/>
      <c r="F579" s="24"/>
      <c r="G579" s="121"/>
      <c r="H579" s="24"/>
      <c r="I579" s="24"/>
      <c r="J579" s="121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</row>
    <row r="580" spans="1:25" ht="18.75">
      <c r="A580" s="121"/>
      <c r="B580" s="121"/>
      <c r="C580" s="121"/>
      <c r="D580" s="121"/>
      <c r="E580" s="121"/>
      <c r="F580" s="24"/>
      <c r="G580" s="121"/>
      <c r="H580" s="24"/>
      <c r="I580" s="24"/>
      <c r="J580" s="121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</row>
    <row r="581" spans="1:25" ht="18.75">
      <c r="A581" s="121"/>
      <c r="B581" s="121"/>
      <c r="C581" s="121"/>
      <c r="D581" s="121"/>
      <c r="E581" s="121"/>
      <c r="F581" s="24"/>
      <c r="G581" s="121"/>
      <c r="H581" s="24"/>
      <c r="I581" s="24"/>
      <c r="J581" s="121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</row>
    <row r="582" spans="1:25" ht="18.75">
      <c r="A582" s="121"/>
      <c r="B582" s="121"/>
      <c r="C582" s="121"/>
      <c r="D582" s="121"/>
      <c r="E582" s="121"/>
      <c r="F582" s="24"/>
      <c r="G582" s="121"/>
      <c r="H582" s="24"/>
      <c r="I582" s="24"/>
      <c r="J582" s="121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</row>
    <row r="583" spans="1:25" ht="18.75">
      <c r="A583" s="121"/>
      <c r="B583" s="121"/>
      <c r="C583" s="121"/>
      <c r="D583" s="121"/>
      <c r="E583" s="121"/>
      <c r="F583" s="24"/>
      <c r="G583" s="121"/>
      <c r="H583" s="24"/>
      <c r="I583" s="24"/>
      <c r="J583" s="121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</row>
    <row r="584" spans="1:25" ht="18.75">
      <c r="A584" s="121"/>
      <c r="B584" s="121"/>
      <c r="C584" s="121"/>
      <c r="D584" s="121"/>
      <c r="E584" s="121"/>
      <c r="F584" s="24"/>
      <c r="G584" s="121"/>
      <c r="H584" s="24"/>
      <c r="I584" s="24"/>
      <c r="J584" s="121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</row>
    <row r="585" spans="1:25" ht="18.75">
      <c r="A585" s="121"/>
      <c r="B585" s="121"/>
      <c r="C585" s="121"/>
      <c r="D585" s="121"/>
      <c r="E585" s="121"/>
      <c r="F585" s="24"/>
      <c r="G585" s="121"/>
      <c r="H585" s="24"/>
      <c r="I585" s="24"/>
      <c r="J585" s="121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</row>
    <row r="586" spans="1:25" ht="18.75">
      <c r="A586" s="121"/>
      <c r="B586" s="121"/>
      <c r="C586" s="121"/>
      <c r="D586" s="121"/>
      <c r="E586" s="121"/>
      <c r="F586" s="24"/>
      <c r="G586" s="121"/>
      <c r="H586" s="24"/>
      <c r="I586" s="24"/>
      <c r="J586" s="121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</row>
    <row r="587" spans="1:25" ht="18.75">
      <c r="A587" s="121"/>
      <c r="B587" s="121"/>
      <c r="C587" s="121"/>
      <c r="D587" s="121"/>
      <c r="E587" s="121"/>
      <c r="F587" s="24"/>
      <c r="G587" s="121"/>
      <c r="H587" s="24"/>
      <c r="I587" s="24"/>
      <c r="J587" s="121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</row>
    <row r="588" spans="1:25" ht="18.75">
      <c r="A588" s="121"/>
      <c r="B588" s="121"/>
      <c r="C588" s="121"/>
      <c r="D588" s="121"/>
      <c r="E588" s="121"/>
      <c r="F588" s="24"/>
      <c r="G588" s="121"/>
      <c r="H588" s="24"/>
      <c r="I588" s="24"/>
      <c r="J588" s="121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</row>
    <row r="589" spans="1:25" ht="18.75">
      <c r="A589" s="121"/>
      <c r="B589" s="121"/>
      <c r="C589" s="121"/>
      <c r="D589" s="121"/>
      <c r="E589" s="121"/>
      <c r="F589" s="24"/>
      <c r="G589" s="121"/>
      <c r="H589" s="24"/>
      <c r="I589" s="24"/>
      <c r="J589" s="121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</row>
    <row r="590" spans="1:25" ht="18.75">
      <c r="A590" s="121"/>
      <c r="B590" s="121"/>
      <c r="C590" s="121"/>
      <c r="D590" s="121"/>
      <c r="E590" s="121"/>
      <c r="F590" s="24"/>
      <c r="G590" s="121"/>
      <c r="H590" s="24"/>
      <c r="I590" s="24"/>
      <c r="J590" s="121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</row>
    <row r="591" spans="1:25" ht="18.75">
      <c r="A591" s="121"/>
      <c r="B591" s="121"/>
      <c r="C591" s="121"/>
      <c r="D591" s="121"/>
      <c r="E591" s="121"/>
      <c r="F591" s="24"/>
      <c r="G591" s="121"/>
      <c r="H591" s="24"/>
      <c r="I591" s="24"/>
      <c r="J591" s="121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</row>
    <row r="592" spans="1:25" ht="18.75">
      <c r="A592" s="121"/>
      <c r="B592" s="121"/>
      <c r="C592" s="121"/>
      <c r="D592" s="121"/>
      <c r="E592" s="121"/>
      <c r="F592" s="24"/>
      <c r="G592" s="121"/>
      <c r="H592" s="24"/>
      <c r="I592" s="24"/>
      <c r="J592" s="121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</row>
    <row r="593" spans="1:25" ht="18.75">
      <c r="A593" s="121"/>
      <c r="B593" s="121"/>
      <c r="C593" s="121"/>
      <c r="D593" s="121"/>
      <c r="E593" s="121"/>
      <c r="F593" s="24"/>
      <c r="G593" s="121"/>
      <c r="H593" s="24"/>
      <c r="I593" s="24"/>
      <c r="J593" s="121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</row>
    <row r="594" spans="1:25" ht="18.75">
      <c r="A594" s="121"/>
      <c r="B594" s="121"/>
      <c r="C594" s="121"/>
      <c r="D594" s="121"/>
      <c r="E594" s="121"/>
      <c r="F594" s="24"/>
      <c r="G594" s="121"/>
      <c r="H594" s="24"/>
      <c r="I594" s="24"/>
      <c r="J594" s="121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</row>
    <row r="595" spans="1:25" ht="18.75">
      <c r="A595" s="121"/>
      <c r="B595" s="121"/>
      <c r="C595" s="121"/>
      <c r="D595" s="121"/>
      <c r="E595" s="121"/>
      <c r="F595" s="24"/>
      <c r="G595" s="121"/>
      <c r="H595" s="24"/>
      <c r="I595" s="24"/>
      <c r="J595" s="121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</row>
    <row r="596" spans="1:25" ht="18.75">
      <c r="A596" s="121"/>
      <c r="B596" s="121"/>
      <c r="C596" s="121"/>
      <c r="D596" s="121"/>
      <c r="E596" s="121"/>
      <c r="F596" s="24"/>
      <c r="G596" s="121"/>
      <c r="H596" s="24"/>
      <c r="I596" s="24"/>
      <c r="J596" s="121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</row>
    <row r="597" spans="1:25" ht="18.75">
      <c r="A597" s="121"/>
      <c r="B597" s="121"/>
      <c r="C597" s="121"/>
      <c r="D597" s="121"/>
      <c r="E597" s="121"/>
      <c r="F597" s="24"/>
      <c r="G597" s="121"/>
      <c r="H597" s="24"/>
      <c r="I597" s="24"/>
      <c r="J597" s="121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</row>
    <row r="598" spans="1:25" ht="18.75">
      <c r="A598" s="121"/>
      <c r="B598" s="121"/>
      <c r="C598" s="121"/>
      <c r="D598" s="121"/>
      <c r="E598" s="121"/>
      <c r="F598" s="24"/>
      <c r="G598" s="121"/>
      <c r="H598" s="24"/>
      <c r="I598" s="24"/>
      <c r="J598" s="121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</row>
    <row r="599" spans="1:25" ht="18.75">
      <c r="A599" s="121"/>
      <c r="B599" s="121"/>
      <c r="C599" s="121"/>
      <c r="D599" s="121"/>
      <c r="E599" s="121"/>
      <c r="F599" s="24"/>
      <c r="G599" s="121"/>
      <c r="H599" s="24"/>
      <c r="I599" s="24"/>
      <c r="J599" s="121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</row>
    <row r="600" spans="1:25" ht="18.75">
      <c r="A600" s="121"/>
      <c r="B600" s="121"/>
      <c r="C600" s="121"/>
      <c r="D600" s="121"/>
      <c r="E600" s="121"/>
      <c r="F600" s="24"/>
      <c r="G600" s="121"/>
      <c r="H600" s="24"/>
      <c r="I600" s="24"/>
      <c r="J600" s="121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</row>
    <row r="601" spans="1:25" ht="18.75">
      <c r="A601" s="121"/>
      <c r="B601" s="121"/>
      <c r="C601" s="121"/>
      <c r="D601" s="121"/>
      <c r="E601" s="121"/>
      <c r="F601" s="24"/>
      <c r="G601" s="121"/>
      <c r="H601" s="24"/>
      <c r="I601" s="24"/>
      <c r="J601" s="121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</row>
    <row r="602" spans="1:25" ht="18.75">
      <c r="A602" s="121"/>
      <c r="B602" s="121"/>
      <c r="C602" s="121"/>
      <c r="D602" s="121"/>
      <c r="E602" s="121"/>
      <c r="F602" s="24"/>
      <c r="G602" s="121"/>
      <c r="H602" s="24"/>
      <c r="I602" s="24"/>
      <c r="J602" s="121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</row>
    <row r="603" spans="1:25" ht="18.75">
      <c r="A603" s="121"/>
      <c r="B603" s="121"/>
      <c r="C603" s="121"/>
      <c r="D603" s="121"/>
      <c r="E603" s="121"/>
      <c r="F603" s="24"/>
      <c r="G603" s="121"/>
      <c r="H603" s="24"/>
      <c r="I603" s="24"/>
      <c r="J603" s="121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</row>
    <row r="604" spans="1:25" ht="18.75">
      <c r="A604" s="121"/>
      <c r="B604" s="121"/>
      <c r="C604" s="121"/>
      <c r="D604" s="121"/>
      <c r="E604" s="121"/>
      <c r="F604" s="24"/>
      <c r="G604" s="121"/>
      <c r="H604" s="24"/>
      <c r="I604" s="24"/>
      <c r="J604" s="121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</row>
    <row r="605" spans="1:25" ht="18.75">
      <c r="A605" s="121"/>
      <c r="B605" s="121"/>
      <c r="C605" s="121"/>
      <c r="D605" s="121"/>
      <c r="E605" s="121"/>
      <c r="F605" s="24"/>
      <c r="G605" s="121"/>
      <c r="H605" s="24"/>
      <c r="I605" s="24"/>
      <c r="J605" s="121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</row>
    <row r="606" spans="1:25" ht="18.75">
      <c r="A606" s="121"/>
      <c r="B606" s="121"/>
      <c r="C606" s="121"/>
      <c r="D606" s="121"/>
      <c r="E606" s="121"/>
      <c r="F606" s="24"/>
      <c r="G606" s="121"/>
      <c r="H606" s="24"/>
      <c r="I606" s="24"/>
      <c r="J606" s="121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</row>
    <row r="607" spans="1:25" ht="18.75">
      <c r="A607" s="121"/>
      <c r="B607" s="121"/>
      <c r="C607" s="121"/>
      <c r="D607" s="121"/>
      <c r="E607" s="121"/>
      <c r="F607" s="24"/>
      <c r="G607" s="121"/>
      <c r="H607" s="24"/>
      <c r="I607" s="24"/>
      <c r="J607" s="121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</row>
    <row r="608" spans="1:25" ht="18.75">
      <c r="A608" s="121"/>
      <c r="B608" s="121"/>
      <c r="C608" s="121"/>
      <c r="D608" s="121"/>
      <c r="E608" s="121"/>
      <c r="F608" s="24"/>
      <c r="G608" s="121"/>
      <c r="H608" s="24"/>
      <c r="I608" s="24"/>
      <c r="J608" s="121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</row>
    <row r="609" spans="1:25" ht="18.75">
      <c r="A609" s="121"/>
      <c r="B609" s="121"/>
      <c r="C609" s="121"/>
      <c r="D609" s="121"/>
      <c r="E609" s="121"/>
      <c r="F609" s="24"/>
      <c r="G609" s="121"/>
      <c r="H609" s="24"/>
      <c r="I609" s="24"/>
      <c r="J609" s="121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</row>
    <row r="610" spans="1:25" ht="18.75">
      <c r="A610" s="121"/>
      <c r="B610" s="121"/>
      <c r="C610" s="121"/>
      <c r="D610" s="121"/>
      <c r="E610" s="121"/>
      <c r="F610" s="24"/>
      <c r="G610" s="121"/>
      <c r="H610" s="24"/>
      <c r="I610" s="24"/>
      <c r="J610" s="121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</row>
    <row r="611" spans="1:25" ht="18.75">
      <c r="A611" s="121"/>
      <c r="B611" s="121"/>
      <c r="C611" s="121"/>
      <c r="D611" s="121"/>
      <c r="E611" s="121"/>
      <c r="F611" s="24"/>
      <c r="G611" s="121"/>
      <c r="H611" s="24"/>
      <c r="I611" s="24"/>
      <c r="J611" s="121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</row>
    <row r="612" spans="1:25" ht="18.75">
      <c r="A612" s="121"/>
      <c r="B612" s="121"/>
      <c r="C612" s="121"/>
      <c r="D612" s="121"/>
      <c r="E612" s="121"/>
      <c r="F612" s="24"/>
      <c r="G612" s="121"/>
      <c r="H612" s="24"/>
      <c r="I612" s="24"/>
      <c r="J612" s="121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</row>
    <row r="613" spans="1:25" ht="18.75">
      <c r="A613" s="121"/>
      <c r="B613" s="121"/>
      <c r="C613" s="121"/>
      <c r="D613" s="121"/>
      <c r="E613" s="121"/>
      <c r="F613" s="24"/>
      <c r="G613" s="121"/>
      <c r="H613" s="24"/>
      <c r="I613" s="24"/>
      <c r="J613" s="121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</row>
    <row r="614" spans="1:25" ht="18.75">
      <c r="A614" s="121"/>
      <c r="B614" s="121"/>
      <c r="C614" s="121"/>
      <c r="D614" s="121"/>
      <c r="E614" s="121"/>
      <c r="F614" s="24"/>
      <c r="G614" s="121"/>
      <c r="H614" s="24"/>
      <c r="I614" s="24"/>
      <c r="J614" s="121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</row>
    <row r="615" spans="1:25" ht="18.75">
      <c r="A615" s="121"/>
      <c r="B615" s="121"/>
      <c r="C615" s="121"/>
      <c r="D615" s="121"/>
      <c r="E615" s="121"/>
      <c r="F615" s="24"/>
      <c r="G615" s="121"/>
      <c r="H615" s="24"/>
      <c r="I615" s="24"/>
      <c r="J615" s="121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</row>
    <row r="616" spans="1:25" ht="18.75">
      <c r="A616" s="121"/>
      <c r="B616" s="121"/>
      <c r="C616" s="121"/>
      <c r="D616" s="121"/>
      <c r="E616" s="121"/>
      <c r="F616" s="24"/>
      <c r="G616" s="121"/>
      <c r="H616" s="24"/>
      <c r="I616" s="24"/>
      <c r="J616" s="121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</row>
  </sheetData>
  <autoFilter ref="A1:N115" xr:uid="{00000000-0009-0000-0000-000016000000}">
    <filterColumn colId="0">
      <filters>
        <filter val="#N/A"/>
        <filter val="ผ่านการพิจารณา รอ จก.ชย.ทอ.ลงนาม"/>
        <filter val="รอการขอยกเลิกคุณลักษณะ"/>
        <filter val="รอเข้าพิจารณา คำแนะนำ"/>
        <filter val="รอเข้าพิจารณา คุณลักษณะฯ"/>
        <filter val="อยู่ระหว่างการพิจารณา คำแนะนำ"/>
        <filter val="อยู่ระหว่างการพิจารณา คุณลักษณะฯ"/>
      </filters>
    </filterColumn>
  </autoFilter>
  <mergeCells count="6">
    <mergeCell ref="A72:E72"/>
    <mergeCell ref="A2:E2"/>
    <mergeCell ref="A13:E13"/>
    <mergeCell ref="A24:E24"/>
    <mergeCell ref="A50:E50"/>
    <mergeCell ref="A61:E6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57BB8A"/>
    <outlinePr summaryBelow="0" summaryRight="0"/>
  </sheetPr>
  <dimension ref="A1:J1001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21" customWidth="1"/>
    <col min="2" max="2" width="22.85546875" customWidth="1"/>
    <col min="3" max="3" width="48.28515625" customWidth="1"/>
  </cols>
  <sheetData>
    <row r="1" spans="1:10" ht="33.75" customHeight="1">
      <c r="A1" s="267" t="s">
        <v>2782</v>
      </c>
      <c r="B1" s="268" t="s">
        <v>2785</v>
      </c>
      <c r="C1" s="268" t="s">
        <v>2787</v>
      </c>
      <c r="D1" s="268" t="s">
        <v>2789</v>
      </c>
      <c r="H1" s="529" t="s">
        <v>2790</v>
      </c>
      <c r="I1" s="499"/>
      <c r="J1" s="499"/>
    </row>
    <row r="2" spans="1:10" ht="25.5" customHeight="1">
      <c r="A2" s="269" t="s">
        <v>2792</v>
      </c>
      <c r="B2" s="270" t="s">
        <v>2797</v>
      </c>
      <c r="C2" s="270" t="s">
        <v>2799</v>
      </c>
      <c r="D2" s="271" t="str">
        <f>HYPERLINK("https://drive.google.com/drive/u/0/folders/1z2H2fnnsephn7to82WKjhB27wughaXxy","NFPA")</f>
        <v>NFPA</v>
      </c>
      <c r="H2" s="530" t="s">
        <v>2792</v>
      </c>
      <c r="I2" s="516"/>
      <c r="J2" s="531"/>
    </row>
    <row r="3" spans="1:10" ht="25.5" customHeight="1">
      <c r="A3" s="269" t="s">
        <v>2792</v>
      </c>
      <c r="B3" s="270" t="s">
        <v>2808</v>
      </c>
      <c r="C3" s="270" t="s">
        <v>2799</v>
      </c>
      <c r="D3" s="271" t="str">
        <f>HYPERLINK("https://drive.google.com/drive/u/0/folders/1z2H2fnnsephn7to82WKjhB27wughaXxy","NFPA")</f>
        <v>NFPA</v>
      </c>
    </row>
    <row r="4" spans="1:10" ht="25.5" customHeight="1">
      <c r="A4" s="269" t="s">
        <v>2811</v>
      </c>
      <c r="B4" s="270" t="s">
        <v>2812</v>
      </c>
      <c r="C4" s="270" t="s">
        <v>2799</v>
      </c>
      <c r="D4" s="271" t="str">
        <f>HYPERLINK("https://drive.google.com/drive/u/0/folders/1AS60K4MFyDFerVMcE23HvY6djQavW263","ECE")</f>
        <v>ECE</v>
      </c>
    </row>
    <row r="5" spans="1:10" ht="25.5" customHeight="1">
      <c r="A5" s="269" t="s">
        <v>2817</v>
      </c>
      <c r="B5" s="270" t="s">
        <v>2817</v>
      </c>
      <c r="C5" s="270" t="s">
        <v>2799</v>
      </c>
      <c r="D5" s="270"/>
    </row>
    <row r="6" spans="1:10" ht="25.5" customHeight="1">
      <c r="A6" s="269" t="s">
        <v>2820</v>
      </c>
      <c r="B6" s="270" t="s">
        <v>2821</v>
      </c>
      <c r="C6" s="270" t="s">
        <v>2799</v>
      </c>
      <c r="D6" s="271" t="str">
        <f>HYPERLINK("https://drive.google.com/drive/u/0/folders/1GlA9fQ9aJFkxBHCaDhdlDVYQOU9ktiqx","Stainless Steel")</f>
        <v>Stainless Steel</v>
      </c>
    </row>
    <row r="7" spans="1:10" ht="25.5" customHeight="1">
      <c r="A7" s="269" t="s">
        <v>2820</v>
      </c>
      <c r="B7" s="270" t="s">
        <v>2826</v>
      </c>
      <c r="C7" s="270" t="s">
        <v>2799</v>
      </c>
      <c r="D7" s="271" t="str">
        <f>HYPERLINK("https://drive.google.com/drive/u/0/folders/1GlA9fQ9aJFkxBHCaDhdlDVYQOU9ktiqx","Stainless Steel")</f>
        <v>Stainless Steel</v>
      </c>
    </row>
    <row r="8" spans="1:10" ht="25.5" customHeight="1">
      <c r="A8" s="269" t="s">
        <v>2828</v>
      </c>
      <c r="B8" s="270" t="s">
        <v>2830</v>
      </c>
      <c r="C8" s="270" t="s">
        <v>2799</v>
      </c>
      <c r="D8" s="270"/>
    </row>
    <row r="9" spans="1:10" ht="25.5" customHeight="1">
      <c r="A9" s="269" t="s">
        <v>2831</v>
      </c>
      <c r="B9" s="270" t="s">
        <v>2832</v>
      </c>
      <c r="C9" s="270" t="s">
        <v>2799</v>
      </c>
      <c r="D9" s="270"/>
    </row>
    <row r="10" spans="1:10" ht="25.5" customHeight="1">
      <c r="A10" s="269" t="s">
        <v>2833</v>
      </c>
      <c r="B10" s="270" t="s">
        <v>2834</v>
      </c>
      <c r="C10" s="270" t="s">
        <v>2799</v>
      </c>
      <c r="D10" s="270"/>
    </row>
    <row r="11" spans="1:10" ht="12.75">
      <c r="C11" s="273"/>
    </row>
    <row r="12" spans="1:10" ht="12.75">
      <c r="C12" s="273"/>
    </row>
    <row r="13" spans="1:10" ht="12.75">
      <c r="C13" s="273"/>
    </row>
    <row r="14" spans="1:10" ht="12.75">
      <c r="C14" s="273"/>
    </row>
    <row r="15" spans="1:10" ht="12.75">
      <c r="C15" s="273"/>
    </row>
    <row r="16" spans="1:10" ht="12.75">
      <c r="C16" s="273"/>
    </row>
    <row r="17" spans="3:3" ht="12.75">
      <c r="C17" s="273"/>
    </row>
    <row r="18" spans="3:3" ht="12.75">
      <c r="C18" s="273"/>
    </row>
    <row r="19" spans="3:3" ht="12.75">
      <c r="C19" s="273"/>
    </row>
    <row r="20" spans="3:3" ht="12.75">
      <c r="C20" s="273"/>
    </row>
    <row r="21" spans="3:3" ht="12.75">
      <c r="C21" s="273"/>
    </row>
    <row r="22" spans="3:3" ht="12.75">
      <c r="C22" s="273"/>
    </row>
    <row r="23" spans="3:3" ht="12.75">
      <c r="C23" s="273"/>
    </row>
    <row r="24" spans="3:3" ht="12.75">
      <c r="C24" s="273"/>
    </row>
    <row r="25" spans="3:3" ht="12.75">
      <c r="C25" s="273"/>
    </row>
    <row r="26" spans="3:3" ht="12.75">
      <c r="C26" s="273"/>
    </row>
    <row r="27" spans="3:3" ht="12.75">
      <c r="C27" s="273"/>
    </row>
    <row r="28" spans="3:3" ht="12.75">
      <c r="C28" s="273"/>
    </row>
    <row r="29" spans="3:3" ht="12.75">
      <c r="C29" s="273"/>
    </row>
    <row r="30" spans="3:3" ht="12.75">
      <c r="C30" s="273"/>
    </row>
    <row r="31" spans="3:3" ht="12.75">
      <c r="C31" s="273"/>
    </row>
    <row r="32" spans="3:3" ht="12.75">
      <c r="C32" s="273"/>
    </row>
    <row r="33" spans="3:3" ht="12.75">
      <c r="C33" s="273"/>
    </row>
    <row r="34" spans="3:3" ht="12.75">
      <c r="C34" s="273"/>
    </row>
    <row r="35" spans="3:3" ht="12.75">
      <c r="C35" s="273"/>
    </row>
    <row r="36" spans="3:3" ht="12.75">
      <c r="C36" s="273"/>
    </row>
    <row r="37" spans="3:3" ht="12.75">
      <c r="C37" s="273"/>
    </row>
    <row r="38" spans="3:3" ht="12.75">
      <c r="C38" s="273"/>
    </row>
    <row r="39" spans="3:3" ht="12.75">
      <c r="C39" s="273"/>
    </row>
    <row r="40" spans="3:3" ht="12.75">
      <c r="C40" s="273"/>
    </row>
    <row r="41" spans="3:3" ht="12.75">
      <c r="C41" s="273"/>
    </row>
    <row r="42" spans="3:3" ht="12.75">
      <c r="C42" s="273"/>
    </row>
    <row r="43" spans="3:3" ht="12.75">
      <c r="C43" s="273"/>
    </row>
    <row r="44" spans="3:3" ht="12.75">
      <c r="C44" s="273"/>
    </row>
    <row r="45" spans="3:3" ht="12.75">
      <c r="C45" s="273"/>
    </row>
    <row r="46" spans="3:3" ht="12.75">
      <c r="C46" s="273"/>
    </row>
    <row r="47" spans="3:3" ht="12.75">
      <c r="C47" s="273"/>
    </row>
    <row r="48" spans="3:3" ht="12.75">
      <c r="C48" s="273"/>
    </row>
    <row r="49" spans="3:3" ht="12.75">
      <c r="C49" s="273"/>
    </row>
    <row r="50" spans="3:3" ht="12.75">
      <c r="C50" s="273"/>
    </row>
    <row r="51" spans="3:3" ht="12.75">
      <c r="C51" s="273"/>
    </row>
    <row r="52" spans="3:3" ht="12.75">
      <c r="C52" s="273"/>
    </row>
    <row r="53" spans="3:3" ht="12.75">
      <c r="C53" s="273"/>
    </row>
    <row r="54" spans="3:3" ht="12.75">
      <c r="C54" s="273"/>
    </row>
    <row r="55" spans="3:3" ht="12.75">
      <c r="C55" s="273"/>
    </row>
    <row r="56" spans="3:3" ht="12.75">
      <c r="C56" s="273"/>
    </row>
    <row r="57" spans="3:3" ht="12.75">
      <c r="C57" s="273"/>
    </row>
    <row r="58" spans="3:3" ht="12.75">
      <c r="C58" s="273"/>
    </row>
    <row r="59" spans="3:3" ht="12.75">
      <c r="C59" s="273"/>
    </row>
    <row r="60" spans="3:3" ht="12.75">
      <c r="C60" s="273"/>
    </row>
    <row r="61" spans="3:3" ht="12.75">
      <c r="C61" s="273"/>
    </row>
    <row r="62" spans="3:3" ht="12.75">
      <c r="C62" s="273"/>
    </row>
    <row r="63" spans="3:3" ht="12.75">
      <c r="C63" s="273"/>
    </row>
    <row r="64" spans="3:3" ht="12.75">
      <c r="C64" s="273"/>
    </row>
    <row r="65" spans="3:3" ht="12.75">
      <c r="C65" s="273"/>
    </row>
    <row r="66" spans="3:3" ht="12.75">
      <c r="C66" s="273"/>
    </row>
    <row r="67" spans="3:3" ht="12.75">
      <c r="C67" s="273"/>
    </row>
    <row r="68" spans="3:3" ht="12.75">
      <c r="C68" s="273"/>
    </row>
    <row r="69" spans="3:3" ht="12.75">
      <c r="C69" s="273"/>
    </row>
    <row r="70" spans="3:3" ht="12.75">
      <c r="C70" s="273"/>
    </row>
    <row r="71" spans="3:3" ht="12.75">
      <c r="C71" s="273"/>
    </row>
    <row r="72" spans="3:3" ht="12.75">
      <c r="C72" s="273"/>
    </row>
    <row r="73" spans="3:3" ht="12.75">
      <c r="C73" s="273"/>
    </row>
    <row r="74" spans="3:3" ht="12.75">
      <c r="C74" s="273"/>
    </row>
    <row r="75" spans="3:3" ht="12.75">
      <c r="C75" s="273"/>
    </row>
    <row r="76" spans="3:3" ht="12.75">
      <c r="C76" s="273"/>
    </row>
    <row r="77" spans="3:3" ht="12.75">
      <c r="C77" s="273"/>
    </row>
    <row r="78" spans="3:3" ht="12.75">
      <c r="C78" s="273"/>
    </row>
    <row r="79" spans="3:3" ht="12.75">
      <c r="C79" s="273"/>
    </row>
    <row r="80" spans="3:3" ht="12.75">
      <c r="C80" s="273"/>
    </row>
    <row r="81" spans="3:3" ht="12.75">
      <c r="C81" s="273"/>
    </row>
    <row r="82" spans="3:3" ht="12.75">
      <c r="C82" s="273"/>
    </row>
    <row r="83" spans="3:3" ht="12.75">
      <c r="C83" s="273"/>
    </row>
    <row r="84" spans="3:3" ht="12.75">
      <c r="C84" s="273"/>
    </row>
    <row r="85" spans="3:3" ht="12.75">
      <c r="C85" s="273"/>
    </row>
    <row r="86" spans="3:3" ht="12.75">
      <c r="C86" s="273"/>
    </row>
    <row r="87" spans="3:3" ht="12.75">
      <c r="C87" s="273"/>
    </row>
    <row r="88" spans="3:3" ht="12.75">
      <c r="C88" s="273"/>
    </row>
    <row r="89" spans="3:3" ht="12.75">
      <c r="C89" s="273"/>
    </row>
    <row r="90" spans="3:3" ht="12.75">
      <c r="C90" s="273"/>
    </row>
    <row r="91" spans="3:3" ht="12.75">
      <c r="C91" s="273"/>
    </row>
    <row r="92" spans="3:3" ht="12.75">
      <c r="C92" s="273"/>
    </row>
    <row r="93" spans="3:3" ht="12.75">
      <c r="C93" s="273"/>
    </row>
    <row r="94" spans="3:3" ht="12.75">
      <c r="C94" s="273"/>
    </row>
    <row r="95" spans="3:3" ht="12.75">
      <c r="C95" s="273"/>
    </row>
    <row r="96" spans="3:3" ht="12.75">
      <c r="C96" s="273"/>
    </row>
    <row r="97" spans="3:3" ht="12.75">
      <c r="C97" s="273"/>
    </row>
    <row r="98" spans="3:3" ht="12.75">
      <c r="C98" s="273"/>
    </row>
    <row r="99" spans="3:3" ht="12.75">
      <c r="C99" s="273"/>
    </row>
    <row r="100" spans="3:3" ht="12.75">
      <c r="C100" s="273"/>
    </row>
    <row r="101" spans="3:3" ht="12.75">
      <c r="C101" s="273"/>
    </row>
    <row r="102" spans="3:3" ht="12.75">
      <c r="C102" s="273"/>
    </row>
    <row r="103" spans="3:3" ht="12.75">
      <c r="C103" s="273"/>
    </row>
    <row r="104" spans="3:3" ht="12.75">
      <c r="C104" s="273"/>
    </row>
    <row r="105" spans="3:3" ht="12.75">
      <c r="C105" s="273"/>
    </row>
    <row r="106" spans="3:3" ht="12.75">
      <c r="C106" s="273"/>
    </row>
    <row r="107" spans="3:3" ht="12.75">
      <c r="C107" s="273"/>
    </row>
    <row r="108" spans="3:3" ht="12.75">
      <c r="C108" s="273"/>
    </row>
    <row r="109" spans="3:3" ht="12.75">
      <c r="C109" s="273"/>
    </row>
    <row r="110" spans="3:3" ht="12.75">
      <c r="C110" s="273"/>
    </row>
    <row r="111" spans="3:3" ht="12.75">
      <c r="C111" s="273"/>
    </row>
    <row r="112" spans="3:3" ht="12.75">
      <c r="C112" s="273"/>
    </row>
    <row r="113" spans="3:3" ht="12.75">
      <c r="C113" s="273"/>
    </row>
    <row r="114" spans="3:3" ht="12.75">
      <c r="C114" s="273"/>
    </row>
    <row r="115" spans="3:3" ht="12.75">
      <c r="C115" s="273"/>
    </row>
    <row r="116" spans="3:3" ht="12.75">
      <c r="C116" s="273"/>
    </row>
    <row r="117" spans="3:3" ht="12.75">
      <c r="C117" s="273"/>
    </row>
    <row r="118" spans="3:3" ht="12.75">
      <c r="C118" s="273"/>
    </row>
    <row r="119" spans="3:3" ht="12.75">
      <c r="C119" s="273"/>
    </row>
    <row r="120" spans="3:3" ht="12.75">
      <c r="C120" s="273"/>
    </row>
    <row r="121" spans="3:3" ht="12.75">
      <c r="C121" s="273"/>
    </row>
    <row r="122" spans="3:3" ht="12.75">
      <c r="C122" s="273"/>
    </row>
    <row r="123" spans="3:3" ht="12.75">
      <c r="C123" s="273"/>
    </row>
    <row r="124" spans="3:3" ht="12.75">
      <c r="C124" s="273"/>
    </row>
    <row r="125" spans="3:3" ht="12.75">
      <c r="C125" s="273"/>
    </row>
    <row r="126" spans="3:3" ht="12.75">
      <c r="C126" s="273"/>
    </row>
    <row r="127" spans="3:3" ht="12.75">
      <c r="C127" s="273"/>
    </row>
    <row r="128" spans="3:3" ht="12.75">
      <c r="C128" s="273"/>
    </row>
    <row r="129" spans="3:3" ht="12.75">
      <c r="C129" s="273"/>
    </row>
    <row r="130" spans="3:3" ht="12.75">
      <c r="C130" s="273"/>
    </row>
    <row r="131" spans="3:3" ht="12.75">
      <c r="C131" s="273"/>
    </row>
    <row r="132" spans="3:3" ht="12.75">
      <c r="C132" s="273"/>
    </row>
    <row r="133" spans="3:3" ht="12.75">
      <c r="C133" s="273"/>
    </row>
    <row r="134" spans="3:3" ht="12.75">
      <c r="C134" s="273"/>
    </row>
    <row r="135" spans="3:3" ht="12.75">
      <c r="C135" s="273"/>
    </row>
    <row r="136" spans="3:3" ht="12.75">
      <c r="C136" s="273"/>
    </row>
    <row r="137" spans="3:3" ht="12.75">
      <c r="C137" s="273"/>
    </row>
    <row r="138" spans="3:3" ht="12.75">
      <c r="C138" s="273"/>
    </row>
    <row r="139" spans="3:3" ht="12.75">
      <c r="C139" s="273"/>
    </row>
    <row r="140" spans="3:3" ht="12.75">
      <c r="C140" s="273"/>
    </row>
    <row r="141" spans="3:3" ht="12.75">
      <c r="C141" s="273"/>
    </row>
    <row r="142" spans="3:3" ht="12.75">
      <c r="C142" s="273"/>
    </row>
    <row r="143" spans="3:3" ht="12.75">
      <c r="C143" s="273"/>
    </row>
    <row r="144" spans="3:3" ht="12.75">
      <c r="C144" s="273"/>
    </row>
    <row r="145" spans="3:3" ht="12.75">
      <c r="C145" s="273"/>
    </row>
    <row r="146" spans="3:3" ht="12.75">
      <c r="C146" s="273"/>
    </row>
    <row r="147" spans="3:3" ht="12.75">
      <c r="C147" s="273"/>
    </row>
    <row r="148" spans="3:3" ht="12.75">
      <c r="C148" s="273"/>
    </row>
    <row r="149" spans="3:3" ht="12.75">
      <c r="C149" s="273"/>
    </row>
    <row r="150" spans="3:3" ht="12.75">
      <c r="C150" s="273"/>
    </row>
    <row r="151" spans="3:3" ht="12.75">
      <c r="C151" s="273"/>
    </row>
    <row r="152" spans="3:3" ht="12.75">
      <c r="C152" s="273"/>
    </row>
    <row r="153" spans="3:3" ht="12.75">
      <c r="C153" s="273"/>
    </row>
    <row r="154" spans="3:3" ht="12.75">
      <c r="C154" s="273"/>
    </row>
    <row r="155" spans="3:3" ht="12.75">
      <c r="C155" s="273"/>
    </row>
    <row r="156" spans="3:3" ht="12.75">
      <c r="C156" s="273"/>
    </row>
    <row r="157" spans="3:3" ht="12.75">
      <c r="C157" s="273"/>
    </row>
    <row r="158" spans="3:3" ht="12.75">
      <c r="C158" s="273"/>
    </row>
    <row r="159" spans="3:3" ht="12.75">
      <c r="C159" s="273"/>
    </row>
    <row r="160" spans="3:3" ht="12.75">
      <c r="C160" s="273"/>
    </row>
    <row r="161" spans="3:3" ht="12.75">
      <c r="C161" s="273"/>
    </row>
    <row r="162" spans="3:3" ht="12.75">
      <c r="C162" s="273"/>
    </row>
    <row r="163" spans="3:3" ht="12.75">
      <c r="C163" s="273"/>
    </row>
    <row r="164" spans="3:3" ht="12.75">
      <c r="C164" s="273"/>
    </row>
    <row r="165" spans="3:3" ht="12.75">
      <c r="C165" s="273"/>
    </row>
    <row r="166" spans="3:3" ht="12.75">
      <c r="C166" s="273"/>
    </row>
    <row r="167" spans="3:3" ht="12.75">
      <c r="C167" s="273"/>
    </row>
    <row r="168" spans="3:3" ht="12.75">
      <c r="C168" s="273"/>
    </row>
    <row r="169" spans="3:3" ht="12.75">
      <c r="C169" s="273"/>
    </row>
    <row r="170" spans="3:3" ht="12.75">
      <c r="C170" s="273"/>
    </row>
    <row r="171" spans="3:3" ht="12.75">
      <c r="C171" s="273"/>
    </row>
    <row r="172" spans="3:3" ht="12.75">
      <c r="C172" s="273"/>
    </row>
    <row r="173" spans="3:3" ht="12.75">
      <c r="C173" s="273"/>
    </row>
    <row r="174" spans="3:3" ht="12.75">
      <c r="C174" s="273"/>
    </row>
    <row r="175" spans="3:3" ht="12.75">
      <c r="C175" s="273"/>
    </row>
    <row r="176" spans="3:3" ht="12.75">
      <c r="C176" s="273"/>
    </row>
    <row r="177" spans="3:3" ht="12.75">
      <c r="C177" s="273"/>
    </row>
    <row r="178" spans="3:3" ht="12.75">
      <c r="C178" s="273"/>
    </row>
    <row r="179" spans="3:3" ht="12.75">
      <c r="C179" s="273"/>
    </row>
    <row r="180" spans="3:3" ht="12.75">
      <c r="C180" s="273"/>
    </row>
    <row r="181" spans="3:3" ht="12.75">
      <c r="C181" s="273"/>
    </row>
    <row r="182" spans="3:3" ht="12.75">
      <c r="C182" s="273"/>
    </row>
    <row r="183" spans="3:3" ht="12.75">
      <c r="C183" s="273"/>
    </row>
    <row r="184" spans="3:3" ht="12.75">
      <c r="C184" s="273"/>
    </row>
    <row r="185" spans="3:3" ht="12.75">
      <c r="C185" s="273"/>
    </row>
    <row r="186" spans="3:3" ht="12.75">
      <c r="C186" s="273"/>
    </row>
    <row r="187" spans="3:3" ht="12.75">
      <c r="C187" s="273"/>
    </row>
    <row r="188" spans="3:3" ht="12.75">
      <c r="C188" s="273"/>
    </row>
    <row r="189" spans="3:3" ht="12.75">
      <c r="C189" s="273"/>
    </row>
    <row r="190" spans="3:3" ht="12.75">
      <c r="C190" s="273"/>
    </row>
    <row r="191" spans="3:3" ht="12.75">
      <c r="C191" s="273"/>
    </row>
    <row r="192" spans="3:3" ht="12.75">
      <c r="C192" s="273"/>
    </row>
    <row r="193" spans="3:3" ht="12.75">
      <c r="C193" s="273"/>
    </row>
    <row r="194" spans="3:3" ht="12.75">
      <c r="C194" s="273"/>
    </row>
    <row r="195" spans="3:3" ht="12.75">
      <c r="C195" s="273"/>
    </row>
    <row r="196" spans="3:3" ht="12.75">
      <c r="C196" s="273"/>
    </row>
    <row r="197" spans="3:3" ht="12.75">
      <c r="C197" s="273"/>
    </row>
    <row r="198" spans="3:3" ht="12.75">
      <c r="C198" s="273"/>
    </row>
    <row r="199" spans="3:3" ht="12.75">
      <c r="C199" s="273"/>
    </row>
    <row r="200" spans="3:3" ht="12.75">
      <c r="C200" s="273"/>
    </row>
    <row r="201" spans="3:3" ht="12.75">
      <c r="C201" s="273"/>
    </row>
    <row r="202" spans="3:3" ht="12.75">
      <c r="C202" s="273"/>
    </row>
    <row r="203" spans="3:3" ht="12.75">
      <c r="C203" s="273"/>
    </row>
    <row r="204" spans="3:3" ht="12.75">
      <c r="C204" s="273"/>
    </row>
    <row r="205" spans="3:3" ht="12.75">
      <c r="C205" s="273"/>
    </row>
    <row r="206" spans="3:3" ht="12.75">
      <c r="C206" s="273"/>
    </row>
    <row r="207" spans="3:3" ht="12.75">
      <c r="C207" s="273"/>
    </row>
    <row r="208" spans="3:3" ht="12.75">
      <c r="C208" s="273"/>
    </row>
    <row r="209" spans="3:3" ht="12.75">
      <c r="C209" s="273"/>
    </row>
    <row r="210" spans="3:3" ht="12.75">
      <c r="C210" s="273"/>
    </row>
    <row r="211" spans="3:3" ht="12.75">
      <c r="C211" s="273"/>
    </row>
    <row r="212" spans="3:3" ht="12.75">
      <c r="C212" s="273"/>
    </row>
    <row r="213" spans="3:3" ht="12.75">
      <c r="C213" s="273"/>
    </row>
    <row r="214" spans="3:3" ht="12.75">
      <c r="C214" s="273"/>
    </row>
    <row r="215" spans="3:3" ht="12.75">
      <c r="C215" s="273"/>
    </row>
    <row r="216" spans="3:3" ht="12.75">
      <c r="C216" s="273"/>
    </row>
    <row r="217" spans="3:3" ht="12.75">
      <c r="C217" s="273"/>
    </row>
    <row r="218" spans="3:3" ht="12.75">
      <c r="C218" s="273"/>
    </row>
    <row r="219" spans="3:3" ht="12.75">
      <c r="C219" s="273"/>
    </row>
    <row r="220" spans="3:3" ht="12.75">
      <c r="C220" s="273"/>
    </row>
    <row r="221" spans="3:3" ht="12.75">
      <c r="C221" s="273"/>
    </row>
    <row r="222" spans="3:3" ht="12.75">
      <c r="C222" s="273"/>
    </row>
    <row r="223" spans="3:3" ht="12.75">
      <c r="C223" s="273"/>
    </row>
    <row r="224" spans="3:3" ht="12.75">
      <c r="C224" s="273"/>
    </row>
    <row r="225" spans="3:3" ht="12.75">
      <c r="C225" s="273"/>
    </row>
    <row r="226" spans="3:3" ht="12.75">
      <c r="C226" s="273"/>
    </row>
    <row r="227" spans="3:3" ht="12.75">
      <c r="C227" s="273"/>
    </row>
    <row r="228" spans="3:3" ht="12.75">
      <c r="C228" s="273"/>
    </row>
    <row r="229" spans="3:3" ht="12.75">
      <c r="C229" s="273"/>
    </row>
    <row r="230" spans="3:3" ht="12.75">
      <c r="C230" s="273"/>
    </row>
    <row r="231" spans="3:3" ht="12.75">
      <c r="C231" s="273"/>
    </row>
    <row r="232" spans="3:3" ht="12.75">
      <c r="C232" s="273"/>
    </row>
    <row r="233" spans="3:3" ht="12.75">
      <c r="C233" s="273"/>
    </row>
    <row r="234" spans="3:3" ht="12.75">
      <c r="C234" s="273"/>
    </row>
    <row r="235" spans="3:3" ht="12.75">
      <c r="C235" s="273"/>
    </row>
    <row r="236" spans="3:3" ht="12.75">
      <c r="C236" s="273"/>
    </row>
    <row r="237" spans="3:3" ht="12.75">
      <c r="C237" s="273"/>
    </row>
    <row r="238" spans="3:3" ht="12.75">
      <c r="C238" s="273"/>
    </row>
    <row r="239" spans="3:3" ht="12.75">
      <c r="C239" s="273"/>
    </row>
    <row r="240" spans="3:3" ht="12.75">
      <c r="C240" s="273"/>
    </row>
    <row r="241" spans="3:3" ht="12.75">
      <c r="C241" s="273"/>
    </row>
    <row r="242" spans="3:3" ht="12.75">
      <c r="C242" s="273"/>
    </row>
    <row r="243" spans="3:3" ht="12.75">
      <c r="C243" s="273"/>
    </row>
    <row r="244" spans="3:3" ht="12.75">
      <c r="C244" s="273"/>
    </row>
    <row r="245" spans="3:3" ht="12.75">
      <c r="C245" s="273"/>
    </row>
    <row r="246" spans="3:3" ht="12.75">
      <c r="C246" s="273"/>
    </row>
    <row r="247" spans="3:3" ht="12.75">
      <c r="C247" s="273"/>
    </row>
    <row r="248" spans="3:3" ht="12.75">
      <c r="C248" s="273"/>
    </row>
    <row r="249" spans="3:3" ht="12.75">
      <c r="C249" s="273"/>
    </row>
    <row r="250" spans="3:3" ht="12.75">
      <c r="C250" s="273"/>
    </row>
    <row r="251" spans="3:3" ht="12.75">
      <c r="C251" s="273"/>
    </row>
    <row r="252" spans="3:3" ht="12.75">
      <c r="C252" s="273"/>
    </row>
    <row r="253" spans="3:3" ht="12.75">
      <c r="C253" s="273"/>
    </row>
    <row r="254" spans="3:3" ht="12.75">
      <c r="C254" s="273"/>
    </row>
    <row r="255" spans="3:3" ht="12.75">
      <c r="C255" s="273"/>
    </row>
    <row r="256" spans="3:3" ht="12.75">
      <c r="C256" s="273"/>
    </row>
    <row r="257" spans="3:3" ht="12.75">
      <c r="C257" s="273"/>
    </row>
    <row r="258" spans="3:3" ht="12.75">
      <c r="C258" s="273"/>
    </row>
    <row r="259" spans="3:3" ht="12.75">
      <c r="C259" s="273"/>
    </row>
    <row r="260" spans="3:3" ht="12.75">
      <c r="C260" s="273"/>
    </row>
    <row r="261" spans="3:3" ht="12.75">
      <c r="C261" s="273"/>
    </row>
    <row r="262" spans="3:3" ht="12.75">
      <c r="C262" s="273"/>
    </row>
    <row r="263" spans="3:3" ht="12.75">
      <c r="C263" s="273"/>
    </row>
    <row r="264" spans="3:3" ht="12.75">
      <c r="C264" s="273"/>
    </row>
    <row r="265" spans="3:3" ht="12.75">
      <c r="C265" s="273"/>
    </row>
    <row r="266" spans="3:3" ht="12.75">
      <c r="C266" s="273"/>
    </row>
    <row r="267" spans="3:3" ht="12.75">
      <c r="C267" s="273"/>
    </row>
    <row r="268" spans="3:3" ht="12.75">
      <c r="C268" s="273"/>
    </row>
    <row r="269" spans="3:3" ht="12.75">
      <c r="C269" s="273"/>
    </row>
    <row r="270" spans="3:3" ht="12.75">
      <c r="C270" s="273"/>
    </row>
    <row r="271" spans="3:3" ht="12.75">
      <c r="C271" s="273"/>
    </row>
    <row r="272" spans="3:3" ht="12.75">
      <c r="C272" s="273"/>
    </row>
    <row r="273" spans="3:3" ht="12.75">
      <c r="C273" s="273"/>
    </row>
    <row r="274" spans="3:3" ht="12.75">
      <c r="C274" s="273"/>
    </row>
    <row r="275" spans="3:3" ht="12.75">
      <c r="C275" s="273"/>
    </row>
    <row r="276" spans="3:3" ht="12.75">
      <c r="C276" s="273"/>
    </row>
    <row r="277" spans="3:3" ht="12.75">
      <c r="C277" s="273"/>
    </row>
    <row r="278" spans="3:3" ht="12.75">
      <c r="C278" s="273"/>
    </row>
    <row r="279" spans="3:3" ht="12.75">
      <c r="C279" s="273"/>
    </row>
    <row r="280" spans="3:3" ht="12.75">
      <c r="C280" s="273"/>
    </row>
    <row r="281" spans="3:3" ht="12.75">
      <c r="C281" s="273"/>
    </row>
    <row r="282" spans="3:3" ht="12.75">
      <c r="C282" s="273"/>
    </row>
    <row r="283" spans="3:3" ht="12.75">
      <c r="C283" s="273"/>
    </row>
    <row r="284" spans="3:3" ht="12.75">
      <c r="C284" s="273"/>
    </row>
    <row r="285" spans="3:3" ht="12.75">
      <c r="C285" s="273"/>
    </row>
    <row r="286" spans="3:3" ht="12.75">
      <c r="C286" s="273"/>
    </row>
    <row r="287" spans="3:3" ht="12.75">
      <c r="C287" s="273"/>
    </row>
    <row r="288" spans="3:3" ht="12.75">
      <c r="C288" s="273"/>
    </row>
    <row r="289" spans="3:3" ht="12.75">
      <c r="C289" s="273"/>
    </row>
    <row r="290" spans="3:3" ht="12.75">
      <c r="C290" s="273"/>
    </row>
    <row r="291" spans="3:3" ht="12.75">
      <c r="C291" s="273"/>
    </row>
    <row r="292" spans="3:3" ht="12.75">
      <c r="C292" s="273"/>
    </row>
    <row r="293" spans="3:3" ht="12.75">
      <c r="C293" s="273"/>
    </row>
    <row r="294" spans="3:3" ht="12.75">
      <c r="C294" s="273"/>
    </row>
    <row r="295" spans="3:3" ht="12.75">
      <c r="C295" s="273"/>
    </row>
    <row r="296" spans="3:3" ht="12.75">
      <c r="C296" s="273"/>
    </row>
    <row r="297" spans="3:3" ht="12.75">
      <c r="C297" s="273"/>
    </row>
    <row r="298" spans="3:3" ht="12.75">
      <c r="C298" s="273"/>
    </row>
    <row r="299" spans="3:3" ht="12.75">
      <c r="C299" s="273"/>
    </row>
    <row r="300" spans="3:3" ht="12.75">
      <c r="C300" s="273"/>
    </row>
    <row r="301" spans="3:3" ht="12.75">
      <c r="C301" s="273"/>
    </row>
    <row r="302" spans="3:3" ht="12.75">
      <c r="C302" s="273"/>
    </row>
    <row r="303" spans="3:3" ht="12.75">
      <c r="C303" s="273"/>
    </row>
    <row r="304" spans="3:3" ht="12.75">
      <c r="C304" s="273"/>
    </row>
    <row r="305" spans="3:3" ht="12.75">
      <c r="C305" s="273"/>
    </row>
    <row r="306" spans="3:3" ht="12.75">
      <c r="C306" s="273"/>
    </row>
    <row r="307" spans="3:3" ht="12.75">
      <c r="C307" s="273"/>
    </row>
    <row r="308" spans="3:3" ht="12.75">
      <c r="C308" s="273"/>
    </row>
    <row r="309" spans="3:3" ht="12.75">
      <c r="C309" s="273"/>
    </row>
    <row r="310" spans="3:3" ht="12.75">
      <c r="C310" s="273"/>
    </row>
    <row r="311" spans="3:3" ht="12.75">
      <c r="C311" s="273"/>
    </row>
    <row r="312" spans="3:3" ht="12.75">
      <c r="C312" s="273"/>
    </row>
    <row r="313" spans="3:3" ht="12.75">
      <c r="C313" s="273"/>
    </row>
    <row r="314" spans="3:3" ht="12.75">
      <c r="C314" s="273"/>
    </row>
    <row r="315" spans="3:3" ht="12.75">
      <c r="C315" s="273"/>
    </row>
    <row r="316" spans="3:3" ht="12.75">
      <c r="C316" s="273"/>
    </row>
    <row r="317" spans="3:3" ht="12.75">
      <c r="C317" s="273"/>
    </row>
    <row r="318" spans="3:3" ht="12.75">
      <c r="C318" s="273"/>
    </row>
    <row r="319" spans="3:3" ht="12.75">
      <c r="C319" s="273"/>
    </row>
    <row r="320" spans="3:3" ht="12.75">
      <c r="C320" s="273"/>
    </row>
    <row r="321" spans="3:3" ht="12.75">
      <c r="C321" s="273"/>
    </row>
    <row r="322" spans="3:3" ht="12.75">
      <c r="C322" s="273"/>
    </row>
    <row r="323" spans="3:3" ht="12.75">
      <c r="C323" s="273"/>
    </row>
    <row r="324" spans="3:3" ht="12.75">
      <c r="C324" s="273"/>
    </row>
    <row r="325" spans="3:3" ht="12.75">
      <c r="C325" s="273"/>
    </row>
    <row r="326" spans="3:3" ht="12.75">
      <c r="C326" s="273"/>
    </row>
    <row r="327" spans="3:3" ht="12.75">
      <c r="C327" s="273"/>
    </row>
    <row r="328" spans="3:3" ht="12.75">
      <c r="C328" s="273"/>
    </row>
    <row r="329" spans="3:3" ht="12.75">
      <c r="C329" s="273"/>
    </row>
    <row r="330" spans="3:3" ht="12.75">
      <c r="C330" s="273"/>
    </row>
    <row r="331" spans="3:3" ht="12.75">
      <c r="C331" s="273"/>
    </row>
    <row r="332" spans="3:3" ht="12.75">
      <c r="C332" s="273"/>
    </row>
    <row r="333" spans="3:3" ht="12.75">
      <c r="C333" s="273"/>
    </row>
    <row r="334" spans="3:3" ht="12.75">
      <c r="C334" s="273"/>
    </row>
    <row r="335" spans="3:3" ht="12.75">
      <c r="C335" s="273"/>
    </row>
    <row r="336" spans="3:3" ht="12.75">
      <c r="C336" s="273"/>
    </row>
    <row r="337" spans="3:3" ht="12.75">
      <c r="C337" s="273"/>
    </row>
    <row r="338" spans="3:3" ht="12.75">
      <c r="C338" s="273"/>
    </row>
    <row r="339" spans="3:3" ht="12.75">
      <c r="C339" s="273"/>
    </row>
    <row r="340" spans="3:3" ht="12.75">
      <c r="C340" s="273"/>
    </row>
    <row r="341" spans="3:3" ht="12.75">
      <c r="C341" s="273"/>
    </row>
    <row r="342" spans="3:3" ht="12.75">
      <c r="C342" s="273"/>
    </row>
    <row r="343" spans="3:3" ht="12.75">
      <c r="C343" s="273"/>
    </row>
    <row r="344" spans="3:3" ht="12.75">
      <c r="C344" s="273"/>
    </row>
    <row r="345" spans="3:3" ht="12.75">
      <c r="C345" s="273"/>
    </row>
    <row r="346" spans="3:3" ht="12.75">
      <c r="C346" s="273"/>
    </row>
    <row r="347" spans="3:3" ht="12.75">
      <c r="C347" s="273"/>
    </row>
    <row r="348" spans="3:3" ht="12.75">
      <c r="C348" s="273"/>
    </row>
    <row r="349" spans="3:3" ht="12.75">
      <c r="C349" s="273"/>
    </row>
    <row r="350" spans="3:3" ht="12.75">
      <c r="C350" s="273"/>
    </row>
    <row r="351" spans="3:3" ht="12.75">
      <c r="C351" s="273"/>
    </row>
    <row r="352" spans="3:3" ht="12.75">
      <c r="C352" s="273"/>
    </row>
    <row r="353" spans="3:3" ht="12.75">
      <c r="C353" s="273"/>
    </row>
    <row r="354" spans="3:3" ht="12.75">
      <c r="C354" s="273"/>
    </row>
    <row r="355" spans="3:3" ht="12.75">
      <c r="C355" s="273"/>
    </row>
    <row r="356" spans="3:3" ht="12.75">
      <c r="C356" s="273"/>
    </row>
    <row r="357" spans="3:3" ht="12.75">
      <c r="C357" s="273"/>
    </row>
    <row r="358" spans="3:3" ht="12.75">
      <c r="C358" s="273"/>
    </row>
    <row r="359" spans="3:3" ht="12.75">
      <c r="C359" s="273"/>
    </row>
    <row r="360" spans="3:3" ht="12.75">
      <c r="C360" s="273"/>
    </row>
    <row r="361" spans="3:3" ht="12.75">
      <c r="C361" s="273"/>
    </row>
    <row r="362" spans="3:3" ht="12.75">
      <c r="C362" s="273"/>
    </row>
    <row r="363" spans="3:3" ht="12.75">
      <c r="C363" s="273"/>
    </row>
    <row r="364" spans="3:3" ht="12.75">
      <c r="C364" s="273"/>
    </row>
    <row r="365" spans="3:3" ht="12.75">
      <c r="C365" s="273"/>
    </row>
    <row r="366" spans="3:3" ht="12.75">
      <c r="C366" s="273"/>
    </row>
    <row r="367" spans="3:3" ht="12.75">
      <c r="C367" s="273"/>
    </row>
    <row r="368" spans="3:3" ht="12.75">
      <c r="C368" s="273"/>
    </row>
    <row r="369" spans="3:3" ht="12.75">
      <c r="C369" s="273"/>
    </row>
    <row r="370" spans="3:3" ht="12.75">
      <c r="C370" s="273"/>
    </row>
    <row r="371" spans="3:3" ht="12.75">
      <c r="C371" s="273"/>
    </row>
    <row r="372" spans="3:3" ht="12.75">
      <c r="C372" s="273"/>
    </row>
    <row r="373" spans="3:3" ht="12.75">
      <c r="C373" s="273"/>
    </row>
    <row r="374" spans="3:3" ht="12.75">
      <c r="C374" s="273"/>
    </row>
    <row r="375" spans="3:3" ht="12.75">
      <c r="C375" s="273"/>
    </row>
    <row r="376" spans="3:3" ht="12.75">
      <c r="C376" s="273"/>
    </row>
    <row r="377" spans="3:3" ht="12.75">
      <c r="C377" s="273"/>
    </row>
    <row r="378" spans="3:3" ht="12.75">
      <c r="C378" s="273"/>
    </row>
    <row r="379" spans="3:3" ht="12.75">
      <c r="C379" s="273"/>
    </row>
    <row r="380" spans="3:3" ht="12.75">
      <c r="C380" s="273"/>
    </row>
    <row r="381" spans="3:3" ht="12.75">
      <c r="C381" s="273"/>
    </row>
    <row r="382" spans="3:3" ht="12.75">
      <c r="C382" s="273"/>
    </row>
    <row r="383" spans="3:3" ht="12.75">
      <c r="C383" s="273"/>
    </row>
    <row r="384" spans="3:3" ht="12.75">
      <c r="C384" s="273"/>
    </row>
    <row r="385" spans="3:3" ht="12.75">
      <c r="C385" s="273"/>
    </row>
    <row r="386" spans="3:3" ht="12.75">
      <c r="C386" s="273"/>
    </row>
    <row r="387" spans="3:3" ht="12.75">
      <c r="C387" s="273"/>
    </row>
    <row r="388" spans="3:3" ht="12.75">
      <c r="C388" s="273"/>
    </row>
    <row r="389" spans="3:3" ht="12.75">
      <c r="C389" s="273"/>
    </row>
    <row r="390" spans="3:3" ht="12.75">
      <c r="C390" s="273"/>
    </row>
    <row r="391" spans="3:3" ht="12.75">
      <c r="C391" s="273"/>
    </row>
    <row r="392" spans="3:3" ht="12.75">
      <c r="C392" s="273"/>
    </row>
    <row r="393" spans="3:3" ht="12.75">
      <c r="C393" s="273"/>
    </row>
    <row r="394" spans="3:3" ht="12.75">
      <c r="C394" s="273"/>
    </row>
    <row r="395" spans="3:3" ht="12.75">
      <c r="C395" s="273"/>
    </row>
    <row r="396" spans="3:3" ht="12.75">
      <c r="C396" s="273"/>
    </row>
    <row r="397" spans="3:3" ht="12.75">
      <c r="C397" s="273"/>
    </row>
    <row r="398" spans="3:3" ht="12.75">
      <c r="C398" s="273"/>
    </row>
    <row r="399" spans="3:3" ht="12.75">
      <c r="C399" s="273"/>
    </row>
    <row r="400" spans="3:3" ht="12.75">
      <c r="C400" s="273"/>
    </row>
    <row r="401" spans="3:3" ht="12.75">
      <c r="C401" s="273"/>
    </row>
    <row r="402" spans="3:3" ht="12.75">
      <c r="C402" s="273"/>
    </row>
    <row r="403" spans="3:3" ht="12.75">
      <c r="C403" s="273"/>
    </row>
    <row r="404" spans="3:3" ht="12.75">
      <c r="C404" s="273"/>
    </row>
    <row r="405" spans="3:3" ht="12.75">
      <c r="C405" s="273"/>
    </row>
    <row r="406" spans="3:3" ht="12.75">
      <c r="C406" s="273"/>
    </row>
    <row r="407" spans="3:3" ht="12.75">
      <c r="C407" s="273"/>
    </row>
    <row r="408" spans="3:3" ht="12.75">
      <c r="C408" s="273"/>
    </row>
    <row r="409" spans="3:3" ht="12.75">
      <c r="C409" s="273"/>
    </row>
    <row r="410" spans="3:3" ht="12.75">
      <c r="C410" s="273"/>
    </row>
    <row r="411" spans="3:3" ht="12.75">
      <c r="C411" s="273"/>
    </row>
    <row r="412" spans="3:3" ht="12.75">
      <c r="C412" s="273"/>
    </row>
    <row r="413" spans="3:3" ht="12.75">
      <c r="C413" s="273"/>
    </row>
    <row r="414" spans="3:3" ht="12.75">
      <c r="C414" s="273"/>
    </row>
    <row r="415" spans="3:3" ht="12.75">
      <c r="C415" s="273"/>
    </row>
    <row r="416" spans="3:3" ht="12.75">
      <c r="C416" s="273"/>
    </row>
    <row r="417" spans="3:3" ht="12.75">
      <c r="C417" s="273"/>
    </row>
    <row r="418" spans="3:3" ht="12.75">
      <c r="C418" s="273"/>
    </row>
    <row r="419" spans="3:3" ht="12.75">
      <c r="C419" s="273"/>
    </row>
    <row r="420" spans="3:3" ht="12.75">
      <c r="C420" s="273"/>
    </row>
    <row r="421" spans="3:3" ht="12.75">
      <c r="C421" s="273"/>
    </row>
    <row r="422" spans="3:3" ht="12.75">
      <c r="C422" s="273"/>
    </row>
    <row r="423" spans="3:3" ht="12.75">
      <c r="C423" s="273"/>
    </row>
    <row r="424" spans="3:3" ht="12.75">
      <c r="C424" s="273"/>
    </row>
    <row r="425" spans="3:3" ht="12.75">
      <c r="C425" s="273"/>
    </row>
    <row r="426" spans="3:3" ht="12.75">
      <c r="C426" s="273"/>
    </row>
    <row r="427" spans="3:3" ht="12.75">
      <c r="C427" s="273"/>
    </row>
    <row r="428" spans="3:3" ht="12.75">
      <c r="C428" s="273"/>
    </row>
    <row r="429" spans="3:3" ht="12.75">
      <c r="C429" s="273"/>
    </row>
    <row r="430" spans="3:3" ht="12.75">
      <c r="C430" s="273"/>
    </row>
    <row r="431" spans="3:3" ht="12.75">
      <c r="C431" s="273"/>
    </row>
    <row r="432" spans="3:3" ht="12.75">
      <c r="C432" s="273"/>
    </row>
    <row r="433" spans="3:3" ht="12.75">
      <c r="C433" s="273"/>
    </row>
    <row r="434" spans="3:3" ht="12.75">
      <c r="C434" s="273"/>
    </row>
    <row r="435" spans="3:3" ht="12.75">
      <c r="C435" s="273"/>
    </row>
    <row r="436" spans="3:3" ht="12.75">
      <c r="C436" s="273"/>
    </row>
    <row r="437" spans="3:3" ht="12.75">
      <c r="C437" s="273"/>
    </row>
    <row r="438" spans="3:3" ht="12.75">
      <c r="C438" s="273"/>
    </row>
    <row r="439" spans="3:3" ht="12.75">
      <c r="C439" s="273"/>
    </row>
    <row r="440" spans="3:3" ht="12.75">
      <c r="C440" s="273"/>
    </row>
    <row r="441" spans="3:3" ht="12.75">
      <c r="C441" s="273"/>
    </row>
    <row r="442" spans="3:3" ht="12.75">
      <c r="C442" s="273"/>
    </row>
    <row r="443" spans="3:3" ht="12.75">
      <c r="C443" s="273"/>
    </row>
    <row r="444" spans="3:3" ht="12.75">
      <c r="C444" s="273"/>
    </row>
    <row r="445" spans="3:3" ht="12.75">
      <c r="C445" s="273"/>
    </row>
    <row r="446" spans="3:3" ht="12.75">
      <c r="C446" s="273"/>
    </row>
    <row r="447" spans="3:3" ht="12.75">
      <c r="C447" s="273"/>
    </row>
    <row r="448" spans="3:3" ht="12.75">
      <c r="C448" s="273"/>
    </row>
    <row r="449" spans="3:3" ht="12.75">
      <c r="C449" s="273"/>
    </row>
    <row r="450" spans="3:3" ht="12.75">
      <c r="C450" s="273"/>
    </row>
    <row r="451" spans="3:3" ht="12.75">
      <c r="C451" s="273"/>
    </row>
    <row r="452" spans="3:3" ht="12.75">
      <c r="C452" s="273"/>
    </row>
    <row r="453" spans="3:3" ht="12.75">
      <c r="C453" s="273"/>
    </row>
    <row r="454" spans="3:3" ht="12.75">
      <c r="C454" s="273"/>
    </row>
    <row r="455" spans="3:3" ht="12.75">
      <c r="C455" s="273"/>
    </row>
    <row r="456" spans="3:3" ht="12.75">
      <c r="C456" s="273"/>
    </row>
    <row r="457" spans="3:3" ht="12.75">
      <c r="C457" s="273"/>
    </row>
    <row r="458" spans="3:3" ht="12.75">
      <c r="C458" s="273"/>
    </row>
    <row r="459" spans="3:3" ht="12.75">
      <c r="C459" s="273"/>
    </row>
    <row r="460" spans="3:3" ht="12.75">
      <c r="C460" s="273"/>
    </row>
    <row r="461" spans="3:3" ht="12.75">
      <c r="C461" s="273"/>
    </row>
    <row r="462" spans="3:3" ht="12.75">
      <c r="C462" s="273"/>
    </row>
    <row r="463" spans="3:3" ht="12.75">
      <c r="C463" s="273"/>
    </row>
    <row r="464" spans="3:3" ht="12.75">
      <c r="C464" s="273"/>
    </row>
    <row r="465" spans="3:3" ht="12.75">
      <c r="C465" s="273"/>
    </row>
    <row r="466" spans="3:3" ht="12.75">
      <c r="C466" s="273"/>
    </row>
    <row r="467" spans="3:3" ht="12.75">
      <c r="C467" s="273"/>
    </row>
    <row r="468" spans="3:3" ht="12.75">
      <c r="C468" s="273"/>
    </row>
    <row r="469" spans="3:3" ht="12.75">
      <c r="C469" s="273"/>
    </row>
    <row r="470" spans="3:3" ht="12.75">
      <c r="C470" s="273"/>
    </row>
    <row r="471" spans="3:3" ht="12.75">
      <c r="C471" s="273"/>
    </row>
    <row r="472" spans="3:3" ht="12.75">
      <c r="C472" s="273"/>
    </row>
    <row r="473" spans="3:3" ht="12.75">
      <c r="C473" s="273"/>
    </row>
    <row r="474" spans="3:3" ht="12.75">
      <c r="C474" s="273"/>
    </row>
    <row r="475" spans="3:3" ht="12.75">
      <c r="C475" s="273"/>
    </row>
    <row r="476" spans="3:3" ht="12.75">
      <c r="C476" s="273"/>
    </row>
    <row r="477" spans="3:3" ht="12.75">
      <c r="C477" s="273"/>
    </row>
    <row r="478" spans="3:3" ht="12.75">
      <c r="C478" s="273"/>
    </row>
    <row r="479" spans="3:3" ht="12.75">
      <c r="C479" s="273"/>
    </row>
    <row r="480" spans="3:3" ht="12.75">
      <c r="C480" s="273"/>
    </row>
    <row r="481" spans="3:3" ht="12.75">
      <c r="C481" s="273"/>
    </row>
    <row r="482" spans="3:3" ht="12.75">
      <c r="C482" s="273"/>
    </row>
    <row r="483" spans="3:3" ht="12.75">
      <c r="C483" s="273"/>
    </row>
    <row r="484" spans="3:3" ht="12.75">
      <c r="C484" s="273"/>
    </row>
    <row r="485" spans="3:3" ht="12.75">
      <c r="C485" s="273"/>
    </row>
    <row r="486" spans="3:3" ht="12.75">
      <c r="C486" s="273"/>
    </row>
    <row r="487" spans="3:3" ht="12.75">
      <c r="C487" s="273"/>
    </row>
    <row r="488" spans="3:3" ht="12.75">
      <c r="C488" s="273"/>
    </row>
    <row r="489" spans="3:3" ht="12.75">
      <c r="C489" s="273"/>
    </row>
    <row r="490" spans="3:3" ht="12.75">
      <c r="C490" s="273"/>
    </row>
    <row r="491" spans="3:3" ht="12.75">
      <c r="C491" s="273"/>
    </row>
    <row r="492" spans="3:3" ht="12.75">
      <c r="C492" s="273"/>
    </row>
    <row r="493" spans="3:3" ht="12.75">
      <c r="C493" s="273"/>
    </row>
    <row r="494" spans="3:3" ht="12.75">
      <c r="C494" s="273"/>
    </row>
    <row r="495" spans="3:3" ht="12.75">
      <c r="C495" s="273"/>
    </row>
    <row r="496" spans="3:3" ht="12.75">
      <c r="C496" s="273"/>
    </row>
    <row r="497" spans="3:3" ht="12.75">
      <c r="C497" s="273"/>
    </row>
    <row r="498" spans="3:3" ht="12.75">
      <c r="C498" s="273"/>
    </row>
    <row r="499" spans="3:3" ht="12.75">
      <c r="C499" s="273"/>
    </row>
    <row r="500" spans="3:3" ht="12.75">
      <c r="C500" s="273"/>
    </row>
    <row r="501" spans="3:3" ht="12.75">
      <c r="C501" s="273"/>
    </row>
    <row r="502" spans="3:3" ht="12.75">
      <c r="C502" s="273"/>
    </row>
    <row r="503" spans="3:3" ht="12.75">
      <c r="C503" s="273"/>
    </row>
    <row r="504" spans="3:3" ht="12.75">
      <c r="C504" s="273"/>
    </row>
    <row r="505" spans="3:3" ht="12.75">
      <c r="C505" s="273"/>
    </row>
    <row r="506" spans="3:3" ht="12.75">
      <c r="C506" s="273"/>
    </row>
    <row r="507" spans="3:3" ht="12.75">
      <c r="C507" s="273"/>
    </row>
    <row r="508" spans="3:3" ht="12.75">
      <c r="C508" s="273"/>
    </row>
    <row r="509" spans="3:3" ht="12.75">
      <c r="C509" s="273"/>
    </row>
    <row r="510" spans="3:3" ht="12.75">
      <c r="C510" s="273"/>
    </row>
    <row r="511" spans="3:3" ht="12.75">
      <c r="C511" s="273"/>
    </row>
    <row r="512" spans="3:3" ht="12.75">
      <c r="C512" s="273"/>
    </row>
    <row r="513" spans="3:3" ht="12.75">
      <c r="C513" s="273"/>
    </row>
    <row r="514" spans="3:3" ht="12.75">
      <c r="C514" s="273"/>
    </row>
    <row r="515" spans="3:3" ht="12.75">
      <c r="C515" s="273"/>
    </row>
    <row r="516" spans="3:3" ht="12.75">
      <c r="C516" s="273"/>
    </row>
    <row r="517" spans="3:3" ht="12.75">
      <c r="C517" s="273"/>
    </row>
    <row r="518" spans="3:3" ht="12.75">
      <c r="C518" s="273"/>
    </row>
    <row r="519" spans="3:3" ht="12.75">
      <c r="C519" s="273"/>
    </row>
    <row r="520" spans="3:3" ht="12.75">
      <c r="C520" s="273"/>
    </row>
    <row r="521" spans="3:3" ht="12.75">
      <c r="C521" s="273"/>
    </row>
    <row r="522" spans="3:3" ht="12.75">
      <c r="C522" s="273"/>
    </row>
    <row r="523" spans="3:3" ht="12.75">
      <c r="C523" s="273"/>
    </row>
    <row r="524" spans="3:3" ht="12.75">
      <c r="C524" s="273"/>
    </row>
    <row r="525" spans="3:3" ht="12.75">
      <c r="C525" s="273"/>
    </row>
    <row r="526" spans="3:3" ht="12.75">
      <c r="C526" s="273"/>
    </row>
    <row r="527" spans="3:3" ht="12.75">
      <c r="C527" s="273"/>
    </row>
    <row r="528" spans="3:3" ht="12.75">
      <c r="C528" s="273"/>
    </row>
    <row r="529" spans="3:3" ht="12.75">
      <c r="C529" s="273"/>
    </row>
    <row r="530" spans="3:3" ht="12.75">
      <c r="C530" s="273"/>
    </row>
    <row r="531" spans="3:3" ht="12.75">
      <c r="C531" s="273"/>
    </row>
    <row r="532" spans="3:3" ht="12.75">
      <c r="C532" s="273"/>
    </row>
    <row r="533" spans="3:3" ht="12.75">
      <c r="C533" s="273"/>
    </row>
    <row r="534" spans="3:3" ht="12.75">
      <c r="C534" s="273"/>
    </row>
    <row r="535" spans="3:3" ht="12.75">
      <c r="C535" s="273"/>
    </row>
    <row r="536" spans="3:3" ht="12.75">
      <c r="C536" s="273"/>
    </row>
    <row r="537" spans="3:3" ht="12.75">
      <c r="C537" s="273"/>
    </row>
    <row r="538" spans="3:3" ht="12.75">
      <c r="C538" s="273"/>
    </row>
    <row r="539" spans="3:3" ht="12.75">
      <c r="C539" s="273"/>
    </row>
    <row r="540" spans="3:3" ht="12.75">
      <c r="C540" s="273"/>
    </row>
    <row r="541" spans="3:3" ht="12.75">
      <c r="C541" s="273"/>
    </row>
    <row r="542" spans="3:3" ht="12.75">
      <c r="C542" s="273"/>
    </row>
    <row r="543" spans="3:3" ht="12.75">
      <c r="C543" s="273"/>
    </row>
    <row r="544" spans="3:3" ht="12.75">
      <c r="C544" s="273"/>
    </row>
    <row r="545" spans="3:3" ht="12.75">
      <c r="C545" s="273"/>
    </row>
    <row r="546" spans="3:3" ht="12.75">
      <c r="C546" s="273"/>
    </row>
    <row r="547" spans="3:3" ht="12.75">
      <c r="C547" s="273"/>
    </row>
    <row r="548" spans="3:3" ht="12.75">
      <c r="C548" s="273"/>
    </row>
    <row r="549" spans="3:3" ht="12.75">
      <c r="C549" s="273"/>
    </row>
    <row r="550" spans="3:3" ht="12.75">
      <c r="C550" s="273"/>
    </row>
    <row r="551" spans="3:3" ht="12.75">
      <c r="C551" s="273"/>
    </row>
    <row r="552" spans="3:3" ht="12.75">
      <c r="C552" s="273"/>
    </row>
    <row r="553" spans="3:3" ht="12.75">
      <c r="C553" s="273"/>
    </row>
    <row r="554" spans="3:3" ht="12.75">
      <c r="C554" s="273"/>
    </row>
    <row r="555" spans="3:3" ht="12.75">
      <c r="C555" s="273"/>
    </row>
    <row r="556" spans="3:3" ht="12.75">
      <c r="C556" s="273"/>
    </row>
    <row r="557" spans="3:3" ht="12.75">
      <c r="C557" s="273"/>
    </row>
    <row r="558" spans="3:3" ht="12.75">
      <c r="C558" s="273"/>
    </row>
    <row r="559" spans="3:3" ht="12.75">
      <c r="C559" s="273"/>
    </row>
    <row r="560" spans="3:3" ht="12.75">
      <c r="C560" s="273"/>
    </row>
    <row r="561" spans="3:3" ht="12.75">
      <c r="C561" s="273"/>
    </row>
    <row r="562" spans="3:3" ht="12.75">
      <c r="C562" s="273"/>
    </row>
    <row r="563" spans="3:3" ht="12.75">
      <c r="C563" s="273"/>
    </row>
    <row r="564" spans="3:3" ht="12.75">
      <c r="C564" s="273"/>
    </row>
    <row r="565" spans="3:3" ht="12.75">
      <c r="C565" s="273"/>
    </row>
    <row r="566" spans="3:3" ht="12.75">
      <c r="C566" s="273"/>
    </row>
    <row r="567" spans="3:3" ht="12.75">
      <c r="C567" s="273"/>
    </row>
    <row r="568" spans="3:3" ht="12.75">
      <c r="C568" s="273"/>
    </row>
    <row r="569" spans="3:3" ht="12.75">
      <c r="C569" s="273"/>
    </row>
    <row r="570" spans="3:3" ht="12.75">
      <c r="C570" s="273"/>
    </row>
    <row r="571" spans="3:3" ht="12.75">
      <c r="C571" s="273"/>
    </row>
    <row r="572" spans="3:3" ht="12.75">
      <c r="C572" s="273"/>
    </row>
    <row r="573" spans="3:3" ht="12.75">
      <c r="C573" s="273"/>
    </row>
    <row r="574" spans="3:3" ht="12.75">
      <c r="C574" s="273"/>
    </row>
    <row r="575" spans="3:3" ht="12.75">
      <c r="C575" s="273"/>
    </row>
    <row r="576" spans="3:3" ht="12.75">
      <c r="C576" s="273"/>
    </row>
    <row r="577" spans="3:3" ht="12.75">
      <c r="C577" s="273"/>
    </row>
    <row r="578" spans="3:3" ht="12.75">
      <c r="C578" s="273"/>
    </row>
    <row r="579" spans="3:3" ht="12.75">
      <c r="C579" s="273"/>
    </row>
    <row r="580" spans="3:3" ht="12.75">
      <c r="C580" s="273"/>
    </row>
    <row r="581" spans="3:3" ht="12.75">
      <c r="C581" s="273"/>
    </row>
    <row r="582" spans="3:3" ht="12.75">
      <c r="C582" s="273"/>
    </row>
    <row r="583" spans="3:3" ht="12.75">
      <c r="C583" s="273"/>
    </row>
    <row r="584" spans="3:3" ht="12.75">
      <c r="C584" s="273"/>
    </row>
    <row r="585" spans="3:3" ht="12.75">
      <c r="C585" s="273"/>
    </row>
    <row r="586" spans="3:3" ht="12.75">
      <c r="C586" s="273"/>
    </row>
    <row r="587" spans="3:3" ht="12.75">
      <c r="C587" s="273"/>
    </row>
    <row r="588" spans="3:3" ht="12.75">
      <c r="C588" s="273"/>
    </row>
    <row r="589" spans="3:3" ht="12.75">
      <c r="C589" s="273"/>
    </row>
    <row r="590" spans="3:3" ht="12.75">
      <c r="C590" s="273"/>
    </row>
    <row r="591" spans="3:3" ht="12.75">
      <c r="C591" s="273"/>
    </row>
    <row r="592" spans="3:3" ht="12.75">
      <c r="C592" s="273"/>
    </row>
    <row r="593" spans="3:3" ht="12.75">
      <c r="C593" s="273"/>
    </row>
    <row r="594" spans="3:3" ht="12.75">
      <c r="C594" s="273"/>
    </row>
    <row r="595" spans="3:3" ht="12.75">
      <c r="C595" s="273"/>
    </row>
    <row r="596" spans="3:3" ht="12.75">
      <c r="C596" s="273"/>
    </row>
    <row r="597" spans="3:3" ht="12.75">
      <c r="C597" s="273"/>
    </row>
    <row r="598" spans="3:3" ht="12.75">
      <c r="C598" s="273"/>
    </row>
    <row r="599" spans="3:3" ht="12.75">
      <c r="C599" s="273"/>
    </row>
    <row r="600" spans="3:3" ht="12.75">
      <c r="C600" s="273"/>
    </row>
    <row r="601" spans="3:3" ht="12.75">
      <c r="C601" s="273"/>
    </row>
    <row r="602" spans="3:3" ht="12.75">
      <c r="C602" s="273"/>
    </row>
    <row r="603" spans="3:3" ht="12.75">
      <c r="C603" s="273"/>
    </row>
    <row r="604" spans="3:3" ht="12.75">
      <c r="C604" s="273"/>
    </row>
    <row r="605" spans="3:3" ht="12.75">
      <c r="C605" s="273"/>
    </row>
    <row r="606" spans="3:3" ht="12.75">
      <c r="C606" s="273"/>
    </row>
    <row r="607" spans="3:3" ht="12.75">
      <c r="C607" s="273"/>
    </row>
    <row r="608" spans="3:3" ht="12.75">
      <c r="C608" s="273"/>
    </row>
    <row r="609" spans="3:3" ht="12.75">
      <c r="C609" s="273"/>
    </row>
    <row r="610" spans="3:3" ht="12.75">
      <c r="C610" s="273"/>
    </row>
    <row r="611" spans="3:3" ht="12.75">
      <c r="C611" s="273"/>
    </row>
    <row r="612" spans="3:3" ht="12.75">
      <c r="C612" s="273"/>
    </row>
    <row r="613" spans="3:3" ht="12.75">
      <c r="C613" s="273"/>
    </row>
    <row r="614" spans="3:3" ht="12.75">
      <c r="C614" s="273"/>
    </row>
    <row r="615" spans="3:3" ht="12.75">
      <c r="C615" s="273"/>
    </row>
    <row r="616" spans="3:3" ht="12.75">
      <c r="C616" s="273"/>
    </row>
    <row r="617" spans="3:3" ht="12.75">
      <c r="C617" s="273"/>
    </row>
    <row r="618" spans="3:3" ht="12.75">
      <c r="C618" s="273"/>
    </row>
    <row r="619" spans="3:3" ht="12.75">
      <c r="C619" s="273"/>
    </row>
    <row r="620" spans="3:3" ht="12.75">
      <c r="C620" s="273"/>
    </row>
    <row r="621" spans="3:3" ht="12.75">
      <c r="C621" s="273"/>
    </row>
    <row r="622" spans="3:3" ht="12.75">
      <c r="C622" s="273"/>
    </row>
    <row r="623" spans="3:3" ht="12.75">
      <c r="C623" s="273"/>
    </row>
    <row r="624" spans="3:3" ht="12.75">
      <c r="C624" s="273"/>
    </row>
    <row r="625" spans="3:3" ht="12.75">
      <c r="C625" s="273"/>
    </row>
    <row r="626" spans="3:3" ht="12.75">
      <c r="C626" s="273"/>
    </row>
    <row r="627" spans="3:3" ht="12.75">
      <c r="C627" s="273"/>
    </row>
    <row r="628" spans="3:3" ht="12.75">
      <c r="C628" s="273"/>
    </row>
    <row r="629" spans="3:3" ht="12.75">
      <c r="C629" s="273"/>
    </row>
    <row r="630" spans="3:3" ht="12.75">
      <c r="C630" s="273"/>
    </row>
    <row r="631" spans="3:3" ht="12.75">
      <c r="C631" s="273"/>
    </row>
    <row r="632" spans="3:3" ht="12.75">
      <c r="C632" s="273"/>
    </row>
    <row r="633" spans="3:3" ht="12.75">
      <c r="C633" s="273"/>
    </row>
    <row r="634" spans="3:3" ht="12.75">
      <c r="C634" s="273"/>
    </row>
    <row r="635" spans="3:3" ht="12.75">
      <c r="C635" s="273"/>
    </row>
    <row r="636" spans="3:3" ht="12.75">
      <c r="C636" s="273"/>
    </row>
    <row r="637" spans="3:3" ht="12.75">
      <c r="C637" s="273"/>
    </row>
    <row r="638" spans="3:3" ht="12.75">
      <c r="C638" s="273"/>
    </row>
    <row r="639" spans="3:3" ht="12.75">
      <c r="C639" s="273"/>
    </row>
    <row r="640" spans="3:3" ht="12.75">
      <c r="C640" s="273"/>
    </row>
    <row r="641" spans="3:3" ht="12.75">
      <c r="C641" s="273"/>
    </row>
    <row r="642" spans="3:3" ht="12.75">
      <c r="C642" s="273"/>
    </row>
    <row r="643" spans="3:3" ht="12.75">
      <c r="C643" s="273"/>
    </row>
    <row r="644" spans="3:3" ht="12.75">
      <c r="C644" s="273"/>
    </row>
    <row r="645" spans="3:3" ht="12.75">
      <c r="C645" s="273"/>
    </row>
    <row r="646" spans="3:3" ht="12.75">
      <c r="C646" s="273"/>
    </row>
    <row r="647" spans="3:3" ht="12.75">
      <c r="C647" s="273"/>
    </row>
    <row r="648" spans="3:3" ht="12.75">
      <c r="C648" s="273"/>
    </row>
    <row r="649" spans="3:3" ht="12.75">
      <c r="C649" s="273"/>
    </row>
    <row r="650" spans="3:3" ht="12.75">
      <c r="C650" s="273"/>
    </row>
    <row r="651" spans="3:3" ht="12.75">
      <c r="C651" s="273"/>
    </row>
    <row r="652" spans="3:3" ht="12.75">
      <c r="C652" s="273"/>
    </row>
    <row r="653" spans="3:3" ht="12.75">
      <c r="C653" s="273"/>
    </row>
    <row r="654" spans="3:3" ht="12.75">
      <c r="C654" s="273"/>
    </row>
    <row r="655" spans="3:3" ht="12.75">
      <c r="C655" s="273"/>
    </row>
    <row r="656" spans="3:3" ht="12.75">
      <c r="C656" s="273"/>
    </row>
    <row r="657" spans="3:3" ht="12.75">
      <c r="C657" s="273"/>
    </row>
    <row r="658" spans="3:3" ht="12.75">
      <c r="C658" s="273"/>
    </row>
    <row r="659" spans="3:3" ht="12.75">
      <c r="C659" s="273"/>
    </row>
    <row r="660" spans="3:3" ht="12.75">
      <c r="C660" s="273"/>
    </row>
    <row r="661" spans="3:3" ht="12.75">
      <c r="C661" s="273"/>
    </row>
    <row r="662" spans="3:3" ht="12.75">
      <c r="C662" s="273"/>
    </row>
    <row r="663" spans="3:3" ht="12.75">
      <c r="C663" s="273"/>
    </row>
    <row r="664" spans="3:3" ht="12.75">
      <c r="C664" s="273"/>
    </row>
    <row r="665" spans="3:3" ht="12.75">
      <c r="C665" s="273"/>
    </row>
    <row r="666" spans="3:3" ht="12.75">
      <c r="C666" s="273"/>
    </row>
    <row r="667" spans="3:3" ht="12.75">
      <c r="C667" s="273"/>
    </row>
    <row r="668" spans="3:3" ht="12.75">
      <c r="C668" s="273"/>
    </row>
    <row r="669" spans="3:3" ht="12.75">
      <c r="C669" s="273"/>
    </row>
    <row r="670" spans="3:3" ht="12.75">
      <c r="C670" s="273"/>
    </row>
    <row r="671" spans="3:3" ht="12.75">
      <c r="C671" s="273"/>
    </row>
    <row r="672" spans="3:3" ht="12.75">
      <c r="C672" s="273"/>
    </row>
    <row r="673" spans="3:3" ht="12.75">
      <c r="C673" s="273"/>
    </row>
    <row r="674" spans="3:3" ht="12.75">
      <c r="C674" s="273"/>
    </row>
    <row r="675" spans="3:3" ht="12.75">
      <c r="C675" s="273"/>
    </row>
    <row r="676" spans="3:3" ht="12.75">
      <c r="C676" s="273"/>
    </row>
    <row r="677" spans="3:3" ht="12.75">
      <c r="C677" s="273"/>
    </row>
    <row r="678" spans="3:3" ht="12.75">
      <c r="C678" s="273"/>
    </row>
    <row r="679" spans="3:3" ht="12.75">
      <c r="C679" s="273"/>
    </row>
    <row r="680" spans="3:3" ht="12.75">
      <c r="C680" s="273"/>
    </row>
    <row r="681" spans="3:3" ht="12.75">
      <c r="C681" s="273"/>
    </row>
    <row r="682" spans="3:3" ht="12.75">
      <c r="C682" s="273"/>
    </row>
    <row r="683" spans="3:3" ht="12.75">
      <c r="C683" s="273"/>
    </row>
    <row r="684" spans="3:3" ht="12.75">
      <c r="C684" s="273"/>
    </row>
    <row r="685" spans="3:3" ht="12.75">
      <c r="C685" s="273"/>
    </row>
    <row r="686" spans="3:3" ht="12.75">
      <c r="C686" s="273"/>
    </row>
    <row r="687" spans="3:3" ht="12.75">
      <c r="C687" s="273"/>
    </row>
    <row r="688" spans="3:3" ht="12.75">
      <c r="C688" s="273"/>
    </row>
    <row r="689" spans="3:3" ht="12.75">
      <c r="C689" s="273"/>
    </row>
    <row r="690" spans="3:3" ht="12.75">
      <c r="C690" s="273"/>
    </row>
    <row r="691" spans="3:3" ht="12.75">
      <c r="C691" s="273"/>
    </row>
    <row r="692" spans="3:3" ht="12.75">
      <c r="C692" s="273"/>
    </row>
    <row r="693" spans="3:3" ht="12.75">
      <c r="C693" s="273"/>
    </row>
    <row r="694" spans="3:3" ht="12.75">
      <c r="C694" s="273"/>
    </row>
    <row r="695" spans="3:3" ht="12.75">
      <c r="C695" s="273"/>
    </row>
    <row r="696" spans="3:3" ht="12.75">
      <c r="C696" s="273"/>
    </row>
    <row r="697" spans="3:3" ht="12.75">
      <c r="C697" s="273"/>
    </row>
    <row r="698" spans="3:3" ht="12.75">
      <c r="C698" s="273"/>
    </row>
    <row r="699" spans="3:3" ht="12.75">
      <c r="C699" s="273"/>
    </row>
    <row r="700" spans="3:3" ht="12.75">
      <c r="C700" s="273"/>
    </row>
    <row r="701" spans="3:3" ht="12.75">
      <c r="C701" s="273"/>
    </row>
    <row r="702" spans="3:3" ht="12.75">
      <c r="C702" s="273"/>
    </row>
    <row r="703" spans="3:3" ht="12.75">
      <c r="C703" s="273"/>
    </row>
    <row r="704" spans="3:3" ht="12.75">
      <c r="C704" s="273"/>
    </row>
    <row r="705" spans="3:3" ht="12.75">
      <c r="C705" s="273"/>
    </row>
    <row r="706" spans="3:3" ht="12.75">
      <c r="C706" s="273"/>
    </row>
    <row r="707" spans="3:3" ht="12.75">
      <c r="C707" s="273"/>
    </row>
    <row r="708" spans="3:3" ht="12.75">
      <c r="C708" s="273"/>
    </row>
    <row r="709" spans="3:3" ht="12.75">
      <c r="C709" s="273"/>
    </row>
    <row r="710" spans="3:3" ht="12.75">
      <c r="C710" s="273"/>
    </row>
    <row r="711" spans="3:3" ht="12.75">
      <c r="C711" s="273"/>
    </row>
    <row r="712" spans="3:3" ht="12.75">
      <c r="C712" s="273"/>
    </row>
    <row r="713" spans="3:3" ht="12.75">
      <c r="C713" s="273"/>
    </row>
    <row r="714" spans="3:3" ht="12.75">
      <c r="C714" s="273"/>
    </row>
    <row r="715" spans="3:3" ht="12.75">
      <c r="C715" s="273"/>
    </row>
    <row r="716" spans="3:3" ht="12.75">
      <c r="C716" s="273"/>
    </row>
    <row r="717" spans="3:3" ht="12.75">
      <c r="C717" s="273"/>
    </row>
    <row r="718" spans="3:3" ht="12.75">
      <c r="C718" s="273"/>
    </row>
    <row r="719" spans="3:3" ht="12.75">
      <c r="C719" s="273"/>
    </row>
    <row r="720" spans="3:3" ht="12.75">
      <c r="C720" s="273"/>
    </row>
    <row r="721" spans="3:3" ht="12.75">
      <c r="C721" s="273"/>
    </row>
    <row r="722" spans="3:3" ht="12.75">
      <c r="C722" s="273"/>
    </row>
    <row r="723" spans="3:3" ht="12.75">
      <c r="C723" s="273"/>
    </row>
    <row r="724" spans="3:3" ht="12.75">
      <c r="C724" s="273"/>
    </row>
    <row r="725" spans="3:3" ht="12.75">
      <c r="C725" s="273"/>
    </row>
    <row r="726" spans="3:3" ht="12.75">
      <c r="C726" s="273"/>
    </row>
    <row r="727" spans="3:3" ht="12.75">
      <c r="C727" s="273"/>
    </row>
    <row r="728" spans="3:3" ht="12.75">
      <c r="C728" s="273"/>
    </row>
    <row r="729" spans="3:3" ht="12.75">
      <c r="C729" s="273"/>
    </row>
    <row r="730" spans="3:3" ht="12.75">
      <c r="C730" s="273"/>
    </row>
    <row r="731" spans="3:3" ht="12.75">
      <c r="C731" s="273"/>
    </row>
    <row r="732" spans="3:3" ht="12.75">
      <c r="C732" s="273"/>
    </row>
    <row r="733" spans="3:3" ht="12.75">
      <c r="C733" s="273"/>
    </row>
    <row r="734" spans="3:3" ht="12.75">
      <c r="C734" s="273"/>
    </row>
    <row r="735" spans="3:3" ht="12.75">
      <c r="C735" s="273"/>
    </row>
    <row r="736" spans="3:3" ht="12.75">
      <c r="C736" s="273"/>
    </row>
    <row r="737" spans="3:3" ht="12.75">
      <c r="C737" s="273"/>
    </row>
    <row r="738" spans="3:3" ht="12.75">
      <c r="C738" s="273"/>
    </row>
    <row r="739" spans="3:3" ht="12.75">
      <c r="C739" s="273"/>
    </row>
    <row r="740" spans="3:3" ht="12.75">
      <c r="C740" s="273"/>
    </row>
    <row r="741" spans="3:3" ht="12.75">
      <c r="C741" s="273"/>
    </row>
    <row r="742" spans="3:3" ht="12.75">
      <c r="C742" s="273"/>
    </row>
    <row r="743" spans="3:3" ht="12.75">
      <c r="C743" s="273"/>
    </row>
    <row r="744" spans="3:3" ht="12.75">
      <c r="C744" s="273"/>
    </row>
    <row r="745" spans="3:3" ht="12.75">
      <c r="C745" s="273"/>
    </row>
    <row r="746" spans="3:3" ht="12.75">
      <c r="C746" s="273"/>
    </row>
    <row r="747" spans="3:3" ht="12.75">
      <c r="C747" s="273"/>
    </row>
    <row r="748" spans="3:3" ht="12.75">
      <c r="C748" s="273"/>
    </row>
    <row r="749" spans="3:3" ht="12.75">
      <c r="C749" s="273"/>
    </row>
    <row r="750" spans="3:3" ht="12.75">
      <c r="C750" s="273"/>
    </row>
    <row r="751" spans="3:3" ht="12.75">
      <c r="C751" s="273"/>
    </row>
    <row r="752" spans="3:3" ht="12.75">
      <c r="C752" s="273"/>
    </row>
    <row r="753" spans="3:3" ht="12.75">
      <c r="C753" s="273"/>
    </row>
    <row r="754" spans="3:3" ht="12.75">
      <c r="C754" s="273"/>
    </row>
    <row r="755" spans="3:3" ht="12.75">
      <c r="C755" s="273"/>
    </row>
    <row r="756" spans="3:3" ht="12.75">
      <c r="C756" s="273"/>
    </row>
    <row r="757" spans="3:3" ht="12.75">
      <c r="C757" s="273"/>
    </row>
    <row r="758" spans="3:3" ht="12.75">
      <c r="C758" s="273"/>
    </row>
    <row r="759" spans="3:3" ht="12.75">
      <c r="C759" s="273"/>
    </row>
    <row r="760" spans="3:3" ht="12.75">
      <c r="C760" s="273"/>
    </row>
    <row r="761" spans="3:3" ht="12.75">
      <c r="C761" s="273"/>
    </row>
    <row r="762" spans="3:3" ht="12.75">
      <c r="C762" s="273"/>
    </row>
    <row r="763" spans="3:3" ht="12.75">
      <c r="C763" s="273"/>
    </row>
    <row r="764" spans="3:3" ht="12.75">
      <c r="C764" s="273"/>
    </row>
    <row r="765" spans="3:3" ht="12.75">
      <c r="C765" s="273"/>
    </row>
    <row r="766" spans="3:3" ht="12.75">
      <c r="C766" s="273"/>
    </row>
    <row r="767" spans="3:3" ht="12.75">
      <c r="C767" s="273"/>
    </row>
    <row r="768" spans="3:3" ht="12.75">
      <c r="C768" s="273"/>
    </row>
    <row r="769" spans="3:3" ht="12.75">
      <c r="C769" s="273"/>
    </row>
    <row r="770" spans="3:3" ht="12.75">
      <c r="C770" s="273"/>
    </row>
    <row r="771" spans="3:3" ht="12.75">
      <c r="C771" s="273"/>
    </row>
    <row r="772" spans="3:3" ht="12.75">
      <c r="C772" s="273"/>
    </row>
    <row r="773" spans="3:3" ht="12.75">
      <c r="C773" s="273"/>
    </row>
    <row r="774" spans="3:3" ht="12.75">
      <c r="C774" s="273"/>
    </row>
    <row r="775" spans="3:3" ht="12.75">
      <c r="C775" s="273"/>
    </row>
    <row r="776" spans="3:3" ht="12.75">
      <c r="C776" s="273"/>
    </row>
    <row r="777" spans="3:3" ht="12.75">
      <c r="C777" s="273"/>
    </row>
    <row r="778" spans="3:3" ht="12.75">
      <c r="C778" s="273"/>
    </row>
    <row r="779" spans="3:3" ht="12.75">
      <c r="C779" s="273"/>
    </row>
    <row r="780" spans="3:3" ht="12.75">
      <c r="C780" s="273"/>
    </row>
    <row r="781" spans="3:3" ht="12.75">
      <c r="C781" s="273"/>
    </row>
    <row r="782" spans="3:3" ht="12.75">
      <c r="C782" s="273"/>
    </row>
    <row r="783" spans="3:3" ht="12.75">
      <c r="C783" s="273"/>
    </row>
    <row r="784" spans="3:3" ht="12.75">
      <c r="C784" s="273"/>
    </row>
    <row r="785" spans="3:3" ht="12.75">
      <c r="C785" s="273"/>
    </row>
    <row r="786" spans="3:3" ht="12.75">
      <c r="C786" s="273"/>
    </row>
    <row r="787" spans="3:3" ht="12.75">
      <c r="C787" s="273"/>
    </row>
    <row r="788" spans="3:3" ht="12.75">
      <c r="C788" s="273"/>
    </row>
    <row r="789" spans="3:3" ht="12.75">
      <c r="C789" s="273"/>
    </row>
    <row r="790" spans="3:3" ht="12.75">
      <c r="C790" s="273"/>
    </row>
    <row r="791" spans="3:3" ht="12.75">
      <c r="C791" s="273"/>
    </row>
    <row r="792" spans="3:3" ht="12.75">
      <c r="C792" s="273"/>
    </row>
    <row r="793" spans="3:3" ht="12.75">
      <c r="C793" s="273"/>
    </row>
    <row r="794" spans="3:3" ht="12.75">
      <c r="C794" s="273"/>
    </row>
    <row r="795" spans="3:3" ht="12.75">
      <c r="C795" s="273"/>
    </row>
    <row r="796" spans="3:3" ht="12.75">
      <c r="C796" s="273"/>
    </row>
    <row r="797" spans="3:3" ht="12.75">
      <c r="C797" s="273"/>
    </row>
    <row r="798" spans="3:3" ht="12.75">
      <c r="C798" s="273"/>
    </row>
    <row r="799" spans="3:3" ht="12.75">
      <c r="C799" s="273"/>
    </row>
    <row r="800" spans="3:3" ht="12.75">
      <c r="C800" s="273"/>
    </row>
    <row r="801" spans="3:3" ht="12.75">
      <c r="C801" s="273"/>
    </row>
    <row r="802" spans="3:3" ht="12.75">
      <c r="C802" s="273"/>
    </row>
    <row r="803" spans="3:3" ht="12.75">
      <c r="C803" s="273"/>
    </row>
    <row r="804" spans="3:3" ht="12.75">
      <c r="C804" s="273"/>
    </row>
    <row r="805" spans="3:3" ht="12.75">
      <c r="C805" s="273"/>
    </row>
    <row r="806" spans="3:3" ht="12.75">
      <c r="C806" s="273"/>
    </row>
    <row r="807" spans="3:3" ht="12.75">
      <c r="C807" s="273"/>
    </row>
    <row r="808" spans="3:3" ht="12.75">
      <c r="C808" s="273"/>
    </row>
    <row r="809" spans="3:3" ht="12.75">
      <c r="C809" s="273"/>
    </row>
    <row r="810" spans="3:3" ht="12.75">
      <c r="C810" s="273"/>
    </row>
    <row r="811" spans="3:3" ht="12.75">
      <c r="C811" s="273"/>
    </row>
    <row r="812" spans="3:3" ht="12.75">
      <c r="C812" s="273"/>
    </row>
    <row r="813" spans="3:3" ht="12.75">
      <c r="C813" s="273"/>
    </row>
    <row r="814" spans="3:3" ht="12.75">
      <c r="C814" s="273"/>
    </row>
    <row r="815" spans="3:3" ht="12.75">
      <c r="C815" s="273"/>
    </row>
    <row r="816" spans="3:3" ht="12.75">
      <c r="C816" s="273"/>
    </row>
    <row r="817" spans="3:3" ht="12.75">
      <c r="C817" s="273"/>
    </row>
    <row r="818" spans="3:3" ht="12.75">
      <c r="C818" s="273"/>
    </row>
    <row r="819" spans="3:3" ht="12.75">
      <c r="C819" s="273"/>
    </row>
    <row r="820" spans="3:3" ht="12.75">
      <c r="C820" s="273"/>
    </row>
    <row r="821" spans="3:3" ht="12.75">
      <c r="C821" s="273"/>
    </row>
    <row r="822" spans="3:3" ht="12.75">
      <c r="C822" s="273"/>
    </row>
    <row r="823" spans="3:3" ht="12.75">
      <c r="C823" s="273"/>
    </row>
    <row r="824" spans="3:3" ht="12.75">
      <c r="C824" s="273"/>
    </row>
    <row r="825" spans="3:3" ht="12.75">
      <c r="C825" s="273"/>
    </row>
    <row r="826" spans="3:3" ht="12.75">
      <c r="C826" s="273"/>
    </row>
    <row r="827" spans="3:3" ht="12.75">
      <c r="C827" s="273"/>
    </row>
    <row r="828" spans="3:3" ht="12.75">
      <c r="C828" s="273"/>
    </row>
    <row r="829" spans="3:3" ht="12.75">
      <c r="C829" s="273"/>
    </row>
    <row r="830" spans="3:3" ht="12.75">
      <c r="C830" s="273"/>
    </row>
    <row r="831" spans="3:3" ht="12.75">
      <c r="C831" s="273"/>
    </row>
    <row r="832" spans="3:3" ht="12.75">
      <c r="C832" s="273"/>
    </row>
    <row r="833" spans="3:3" ht="12.75">
      <c r="C833" s="273"/>
    </row>
    <row r="834" spans="3:3" ht="12.75">
      <c r="C834" s="273"/>
    </row>
    <row r="835" spans="3:3" ht="12.75">
      <c r="C835" s="273"/>
    </row>
    <row r="836" spans="3:3" ht="12.75">
      <c r="C836" s="273"/>
    </row>
    <row r="837" spans="3:3" ht="12.75">
      <c r="C837" s="273"/>
    </row>
    <row r="838" spans="3:3" ht="12.75">
      <c r="C838" s="273"/>
    </row>
    <row r="839" spans="3:3" ht="12.75">
      <c r="C839" s="273"/>
    </row>
    <row r="840" spans="3:3" ht="12.75">
      <c r="C840" s="273"/>
    </row>
    <row r="841" spans="3:3" ht="12.75">
      <c r="C841" s="273"/>
    </row>
    <row r="842" spans="3:3" ht="12.75">
      <c r="C842" s="273"/>
    </row>
    <row r="843" spans="3:3" ht="12.75">
      <c r="C843" s="273"/>
    </row>
    <row r="844" spans="3:3" ht="12.75">
      <c r="C844" s="273"/>
    </row>
    <row r="845" spans="3:3" ht="12.75">
      <c r="C845" s="273"/>
    </row>
    <row r="846" spans="3:3" ht="12.75">
      <c r="C846" s="273"/>
    </row>
    <row r="847" spans="3:3" ht="12.75">
      <c r="C847" s="273"/>
    </row>
    <row r="848" spans="3:3" ht="12.75">
      <c r="C848" s="273"/>
    </row>
    <row r="849" spans="3:3" ht="12.75">
      <c r="C849" s="273"/>
    </row>
    <row r="850" spans="3:3" ht="12.75">
      <c r="C850" s="273"/>
    </row>
    <row r="851" spans="3:3" ht="12.75">
      <c r="C851" s="273"/>
    </row>
    <row r="852" spans="3:3" ht="12.75">
      <c r="C852" s="273"/>
    </row>
    <row r="853" spans="3:3" ht="12.75">
      <c r="C853" s="273"/>
    </row>
    <row r="854" spans="3:3" ht="12.75">
      <c r="C854" s="273"/>
    </row>
    <row r="855" spans="3:3" ht="12.75">
      <c r="C855" s="273"/>
    </row>
    <row r="856" spans="3:3" ht="12.75">
      <c r="C856" s="273"/>
    </row>
    <row r="857" spans="3:3" ht="12.75">
      <c r="C857" s="273"/>
    </row>
    <row r="858" spans="3:3" ht="12.75">
      <c r="C858" s="273"/>
    </row>
    <row r="859" spans="3:3" ht="12.75">
      <c r="C859" s="273"/>
    </row>
    <row r="860" spans="3:3" ht="12.75">
      <c r="C860" s="273"/>
    </row>
    <row r="861" spans="3:3" ht="12.75">
      <c r="C861" s="273"/>
    </row>
    <row r="862" spans="3:3" ht="12.75">
      <c r="C862" s="273"/>
    </row>
    <row r="863" spans="3:3" ht="12.75">
      <c r="C863" s="273"/>
    </row>
    <row r="864" spans="3:3" ht="12.75">
      <c r="C864" s="273"/>
    </row>
    <row r="865" spans="3:3" ht="12.75">
      <c r="C865" s="273"/>
    </row>
    <row r="866" spans="3:3" ht="12.75">
      <c r="C866" s="273"/>
    </row>
    <row r="867" spans="3:3" ht="12.75">
      <c r="C867" s="273"/>
    </row>
    <row r="868" spans="3:3" ht="12.75">
      <c r="C868" s="273"/>
    </row>
    <row r="869" spans="3:3" ht="12.75">
      <c r="C869" s="273"/>
    </row>
    <row r="870" spans="3:3" ht="12.75">
      <c r="C870" s="273"/>
    </row>
    <row r="871" spans="3:3" ht="12.75">
      <c r="C871" s="273"/>
    </row>
    <row r="872" spans="3:3" ht="12.75">
      <c r="C872" s="273"/>
    </row>
    <row r="873" spans="3:3" ht="12.75">
      <c r="C873" s="273"/>
    </row>
    <row r="874" spans="3:3" ht="12.75">
      <c r="C874" s="273"/>
    </row>
    <row r="875" spans="3:3" ht="12.75">
      <c r="C875" s="273"/>
    </row>
    <row r="876" spans="3:3" ht="12.75">
      <c r="C876" s="273"/>
    </row>
    <row r="877" spans="3:3" ht="12.75">
      <c r="C877" s="273"/>
    </row>
    <row r="878" spans="3:3" ht="12.75">
      <c r="C878" s="273"/>
    </row>
    <row r="879" spans="3:3" ht="12.75">
      <c r="C879" s="273"/>
    </row>
    <row r="880" spans="3:3" ht="12.75">
      <c r="C880" s="273"/>
    </row>
    <row r="881" spans="3:3" ht="12.75">
      <c r="C881" s="273"/>
    </row>
    <row r="882" spans="3:3" ht="12.75">
      <c r="C882" s="273"/>
    </row>
    <row r="883" spans="3:3" ht="12.75">
      <c r="C883" s="273"/>
    </row>
    <row r="884" spans="3:3" ht="12.75">
      <c r="C884" s="273"/>
    </row>
    <row r="885" spans="3:3" ht="12.75">
      <c r="C885" s="273"/>
    </row>
    <row r="886" spans="3:3" ht="12.75">
      <c r="C886" s="273"/>
    </row>
    <row r="887" spans="3:3" ht="12.75">
      <c r="C887" s="273"/>
    </row>
    <row r="888" spans="3:3" ht="12.75">
      <c r="C888" s="273"/>
    </row>
    <row r="889" spans="3:3" ht="12.75">
      <c r="C889" s="273"/>
    </row>
    <row r="890" spans="3:3" ht="12.75">
      <c r="C890" s="273"/>
    </row>
    <row r="891" spans="3:3" ht="12.75">
      <c r="C891" s="273"/>
    </row>
    <row r="892" spans="3:3" ht="12.75">
      <c r="C892" s="273"/>
    </row>
    <row r="893" spans="3:3" ht="12.75">
      <c r="C893" s="273"/>
    </row>
    <row r="894" spans="3:3" ht="12.75">
      <c r="C894" s="273"/>
    </row>
    <row r="895" spans="3:3" ht="12.75">
      <c r="C895" s="273"/>
    </row>
    <row r="896" spans="3:3" ht="12.75">
      <c r="C896" s="273"/>
    </row>
    <row r="897" spans="3:3" ht="12.75">
      <c r="C897" s="273"/>
    </row>
    <row r="898" spans="3:3" ht="12.75">
      <c r="C898" s="273"/>
    </row>
    <row r="899" spans="3:3" ht="12.75">
      <c r="C899" s="273"/>
    </row>
    <row r="900" spans="3:3" ht="12.75">
      <c r="C900" s="273"/>
    </row>
    <row r="901" spans="3:3" ht="12.75">
      <c r="C901" s="273"/>
    </row>
    <row r="902" spans="3:3" ht="12.75">
      <c r="C902" s="273"/>
    </row>
    <row r="903" spans="3:3" ht="12.75">
      <c r="C903" s="273"/>
    </row>
    <row r="904" spans="3:3" ht="12.75">
      <c r="C904" s="273"/>
    </row>
    <row r="905" spans="3:3" ht="12.75">
      <c r="C905" s="273"/>
    </row>
    <row r="906" spans="3:3" ht="12.75">
      <c r="C906" s="273"/>
    </row>
    <row r="907" spans="3:3" ht="12.75">
      <c r="C907" s="273"/>
    </row>
    <row r="908" spans="3:3" ht="12.75">
      <c r="C908" s="273"/>
    </row>
    <row r="909" spans="3:3" ht="12.75">
      <c r="C909" s="273"/>
    </row>
    <row r="910" spans="3:3" ht="12.75">
      <c r="C910" s="273"/>
    </row>
    <row r="911" spans="3:3" ht="12.75">
      <c r="C911" s="273"/>
    </row>
    <row r="912" spans="3:3" ht="12.75">
      <c r="C912" s="273"/>
    </row>
    <row r="913" spans="3:3" ht="12.75">
      <c r="C913" s="273"/>
    </row>
    <row r="914" spans="3:3" ht="12.75">
      <c r="C914" s="273"/>
    </row>
    <row r="915" spans="3:3" ht="12.75">
      <c r="C915" s="273"/>
    </row>
    <row r="916" spans="3:3" ht="12.75">
      <c r="C916" s="273"/>
    </row>
    <row r="917" spans="3:3" ht="12.75">
      <c r="C917" s="273"/>
    </row>
    <row r="918" spans="3:3" ht="12.75">
      <c r="C918" s="273"/>
    </row>
    <row r="919" spans="3:3" ht="12.75">
      <c r="C919" s="273"/>
    </row>
    <row r="920" spans="3:3" ht="12.75">
      <c r="C920" s="273"/>
    </row>
    <row r="921" spans="3:3" ht="12.75">
      <c r="C921" s="273"/>
    </row>
    <row r="922" spans="3:3" ht="12.75">
      <c r="C922" s="273"/>
    </row>
    <row r="923" spans="3:3" ht="12.75">
      <c r="C923" s="273"/>
    </row>
    <row r="924" spans="3:3" ht="12.75">
      <c r="C924" s="273"/>
    </row>
    <row r="925" spans="3:3" ht="12.75">
      <c r="C925" s="273"/>
    </row>
    <row r="926" spans="3:3" ht="12.75">
      <c r="C926" s="273"/>
    </row>
    <row r="927" spans="3:3" ht="12.75">
      <c r="C927" s="273"/>
    </row>
    <row r="928" spans="3:3" ht="12.75">
      <c r="C928" s="273"/>
    </row>
    <row r="929" spans="3:3" ht="12.75">
      <c r="C929" s="273"/>
    </row>
    <row r="930" spans="3:3" ht="12.75">
      <c r="C930" s="273"/>
    </row>
    <row r="931" spans="3:3" ht="12.75">
      <c r="C931" s="273"/>
    </row>
    <row r="932" spans="3:3" ht="12.75">
      <c r="C932" s="273"/>
    </row>
    <row r="933" spans="3:3" ht="12.75">
      <c r="C933" s="273"/>
    </row>
    <row r="934" spans="3:3" ht="12.75">
      <c r="C934" s="273"/>
    </row>
    <row r="935" spans="3:3" ht="12.75">
      <c r="C935" s="273"/>
    </row>
    <row r="936" spans="3:3" ht="12.75">
      <c r="C936" s="273"/>
    </row>
    <row r="937" spans="3:3" ht="12.75">
      <c r="C937" s="273"/>
    </row>
    <row r="938" spans="3:3" ht="12.75">
      <c r="C938" s="273"/>
    </row>
    <row r="939" spans="3:3" ht="12.75">
      <c r="C939" s="273"/>
    </row>
    <row r="940" spans="3:3" ht="12.75">
      <c r="C940" s="273"/>
    </row>
    <row r="941" spans="3:3" ht="12.75">
      <c r="C941" s="273"/>
    </row>
    <row r="942" spans="3:3" ht="12.75">
      <c r="C942" s="273"/>
    </row>
    <row r="943" spans="3:3" ht="12.75">
      <c r="C943" s="273"/>
    </row>
    <row r="944" spans="3:3" ht="12.75">
      <c r="C944" s="273"/>
    </row>
    <row r="945" spans="3:3" ht="12.75">
      <c r="C945" s="273"/>
    </row>
    <row r="946" spans="3:3" ht="12.75">
      <c r="C946" s="273"/>
    </row>
    <row r="947" spans="3:3" ht="12.75">
      <c r="C947" s="273"/>
    </row>
    <row r="948" spans="3:3" ht="12.75">
      <c r="C948" s="273"/>
    </row>
    <row r="949" spans="3:3" ht="12.75">
      <c r="C949" s="273"/>
    </row>
    <row r="950" spans="3:3" ht="12.75">
      <c r="C950" s="273"/>
    </row>
    <row r="951" spans="3:3" ht="12.75">
      <c r="C951" s="273"/>
    </row>
    <row r="952" spans="3:3" ht="12.75">
      <c r="C952" s="273"/>
    </row>
    <row r="953" spans="3:3" ht="12.75">
      <c r="C953" s="273"/>
    </row>
    <row r="954" spans="3:3" ht="12.75">
      <c r="C954" s="273"/>
    </row>
    <row r="955" spans="3:3" ht="12.75">
      <c r="C955" s="273"/>
    </row>
    <row r="956" spans="3:3" ht="12.75">
      <c r="C956" s="273"/>
    </row>
    <row r="957" spans="3:3" ht="12.75">
      <c r="C957" s="273"/>
    </row>
    <row r="958" spans="3:3" ht="12.75">
      <c r="C958" s="273"/>
    </row>
    <row r="959" spans="3:3" ht="12.75">
      <c r="C959" s="273"/>
    </row>
    <row r="960" spans="3:3" ht="12.75">
      <c r="C960" s="273"/>
    </row>
    <row r="961" spans="3:3" ht="12.75">
      <c r="C961" s="273"/>
    </row>
    <row r="962" spans="3:3" ht="12.75">
      <c r="C962" s="273"/>
    </row>
    <row r="963" spans="3:3" ht="12.75">
      <c r="C963" s="273"/>
    </row>
    <row r="964" spans="3:3" ht="12.75">
      <c r="C964" s="273"/>
    </row>
    <row r="965" spans="3:3" ht="12.75">
      <c r="C965" s="273"/>
    </row>
    <row r="966" spans="3:3" ht="12.75">
      <c r="C966" s="273"/>
    </row>
    <row r="967" spans="3:3" ht="12.75">
      <c r="C967" s="273"/>
    </row>
    <row r="968" spans="3:3" ht="12.75">
      <c r="C968" s="273"/>
    </row>
    <row r="969" spans="3:3" ht="12.75">
      <c r="C969" s="273"/>
    </row>
    <row r="970" spans="3:3" ht="12.75">
      <c r="C970" s="273"/>
    </row>
    <row r="971" spans="3:3" ht="12.75">
      <c r="C971" s="273"/>
    </row>
    <row r="972" spans="3:3" ht="12.75">
      <c r="C972" s="273"/>
    </row>
    <row r="973" spans="3:3" ht="12.75">
      <c r="C973" s="273"/>
    </row>
    <row r="974" spans="3:3" ht="12.75">
      <c r="C974" s="273"/>
    </row>
    <row r="975" spans="3:3" ht="12.75">
      <c r="C975" s="273"/>
    </row>
    <row r="976" spans="3:3" ht="12.75">
      <c r="C976" s="273"/>
    </row>
    <row r="977" spans="3:3" ht="12.75">
      <c r="C977" s="273"/>
    </row>
    <row r="978" spans="3:3" ht="12.75">
      <c r="C978" s="273"/>
    </row>
    <row r="979" spans="3:3" ht="12.75">
      <c r="C979" s="273"/>
    </row>
    <row r="980" spans="3:3" ht="12.75">
      <c r="C980" s="273"/>
    </row>
    <row r="981" spans="3:3" ht="12.75">
      <c r="C981" s="273"/>
    </row>
    <row r="982" spans="3:3" ht="12.75">
      <c r="C982" s="273"/>
    </row>
    <row r="983" spans="3:3" ht="12.75">
      <c r="C983" s="273"/>
    </row>
    <row r="984" spans="3:3" ht="12.75">
      <c r="C984" s="273"/>
    </row>
    <row r="985" spans="3:3" ht="12.75">
      <c r="C985" s="273"/>
    </row>
    <row r="986" spans="3:3" ht="12.75">
      <c r="C986" s="273"/>
    </row>
    <row r="987" spans="3:3" ht="12.75">
      <c r="C987" s="273"/>
    </row>
    <row r="988" spans="3:3" ht="12.75">
      <c r="C988" s="273"/>
    </row>
    <row r="989" spans="3:3" ht="12.75">
      <c r="C989" s="273"/>
    </row>
    <row r="990" spans="3:3" ht="12.75">
      <c r="C990" s="273"/>
    </row>
    <row r="991" spans="3:3" ht="12.75">
      <c r="C991" s="273"/>
    </row>
    <row r="992" spans="3:3" ht="12.75">
      <c r="C992" s="273"/>
    </row>
    <row r="993" spans="3:3" ht="12.75">
      <c r="C993" s="273"/>
    </row>
    <row r="994" spans="3:3" ht="12.75">
      <c r="C994" s="273"/>
    </row>
    <row r="995" spans="3:3" ht="12.75">
      <c r="C995" s="273"/>
    </row>
    <row r="996" spans="3:3" ht="12.75">
      <c r="C996" s="273"/>
    </row>
    <row r="997" spans="3:3" ht="12.75">
      <c r="C997" s="273"/>
    </row>
    <row r="998" spans="3:3" ht="12.75">
      <c r="C998" s="273"/>
    </row>
    <row r="999" spans="3:3" ht="12.75">
      <c r="C999" s="273"/>
    </row>
    <row r="1000" spans="3:3" ht="12.75">
      <c r="C1000" s="273"/>
    </row>
    <row r="1001" spans="3:3" ht="12.75">
      <c r="C1001" s="273"/>
    </row>
  </sheetData>
  <autoFilter ref="A1:A10" xr:uid="{00000000-0009-0000-0000-000017000000}"/>
  <mergeCells count="2">
    <mergeCell ref="H1:J1"/>
    <mergeCell ref="H2:J2"/>
  </mergeCells>
  <conditionalFormatting sqref="A1:D1">
    <cfRule type="notContainsBlanks" dxfId="8" priority="1">
      <formula>LEN(TRIM(A1))&gt;0</formula>
    </cfRule>
  </conditionalFormatting>
  <conditionalFormatting sqref="A1:D1">
    <cfRule type="notContainsBlanks" dxfId="7" priority="2">
      <formula>LEN(TRIM(A1))&gt;0</formula>
    </cfRule>
  </conditionalFormatting>
  <conditionalFormatting sqref="A1:D1">
    <cfRule type="notContainsBlanks" dxfId="6" priority="3">
      <formula>LEN(TRIM(A1))&gt;0</formula>
    </cfRule>
  </conditionalFormatting>
  <conditionalFormatting sqref="A1:D1">
    <cfRule type="colorScale" priority="4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FF00"/>
    <outlinePr summaryBelow="0" summaryRight="0"/>
  </sheetPr>
  <dimension ref="A1:BC24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14.42578125" defaultRowHeight="15.75" customHeight="1"/>
  <cols>
    <col min="1" max="1" width="23.85546875" customWidth="1"/>
    <col min="2" max="2" width="17.7109375" customWidth="1"/>
    <col min="3" max="3" width="12.42578125" customWidth="1"/>
    <col min="4" max="46" width="9.140625" customWidth="1"/>
    <col min="47" max="47" width="9.7109375" customWidth="1"/>
    <col min="48" max="49" width="9.140625" customWidth="1"/>
    <col min="50" max="55" width="9.7109375" customWidth="1"/>
  </cols>
  <sheetData>
    <row r="1" spans="1:55" ht="15.75" customHeight="1">
      <c r="A1" s="532" t="s">
        <v>3141</v>
      </c>
      <c r="B1" s="499"/>
      <c r="C1" s="275">
        <f>COUNTA(D2:BB2)</f>
        <v>36</v>
      </c>
      <c r="D1" s="275" t="s">
        <v>3150</v>
      </c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</row>
    <row r="2" spans="1:55" ht="37.5">
      <c r="A2" s="277" t="s">
        <v>3156</v>
      </c>
      <c r="B2" s="277" t="s">
        <v>3158</v>
      </c>
      <c r="C2" s="277" t="s">
        <v>3159</v>
      </c>
      <c r="D2" s="278">
        <v>41941</v>
      </c>
      <c r="E2" s="278">
        <v>42096</v>
      </c>
      <c r="F2" s="278">
        <v>42271</v>
      </c>
      <c r="G2" s="278">
        <v>42297</v>
      </c>
      <c r="H2" s="278">
        <v>42304</v>
      </c>
      <c r="I2" s="278">
        <v>42311</v>
      </c>
      <c r="J2" s="278">
        <v>42403</v>
      </c>
      <c r="K2" s="278">
        <v>42430</v>
      </c>
      <c r="L2" s="278">
        <v>42481</v>
      </c>
      <c r="M2" s="278">
        <v>42580</v>
      </c>
      <c r="N2" s="278">
        <v>42586</v>
      </c>
      <c r="O2" s="278">
        <v>42593</v>
      </c>
      <c r="P2" s="278">
        <v>42621</v>
      </c>
      <c r="Q2" s="278">
        <v>42628</v>
      </c>
      <c r="R2" s="278">
        <v>42636</v>
      </c>
      <c r="S2" s="278">
        <v>42646</v>
      </c>
      <c r="T2" s="278">
        <v>42656</v>
      </c>
      <c r="U2" s="278">
        <v>42664</v>
      </c>
      <c r="V2" s="278">
        <v>42671</v>
      </c>
      <c r="W2" s="278">
        <v>42675</v>
      </c>
      <c r="X2" s="278">
        <v>42677</v>
      </c>
      <c r="Y2" s="278">
        <v>42688</v>
      </c>
      <c r="Z2" s="278">
        <v>42746</v>
      </c>
      <c r="AA2" s="278">
        <v>42753</v>
      </c>
      <c r="AB2" s="278">
        <v>42758</v>
      </c>
      <c r="AC2" s="278">
        <v>42760</v>
      </c>
      <c r="AD2" s="278">
        <v>42768</v>
      </c>
      <c r="AE2" s="278">
        <v>42809</v>
      </c>
      <c r="AF2" s="278">
        <v>42835</v>
      </c>
      <c r="AG2" s="278">
        <v>42872</v>
      </c>
      <c r="AH2" s="278">
        <v>42881</v>
      </c>
      <c r="AI2" s="278">
        <v>42893</v>
      </c>
      <c r="AJ2" s="278">
        <v>42942</v>
      </c>
      <c r="AK2" s="278">
        <v>42972</v>
      </c>
      <c r="AL2" s="278">
        <v>42984</v>
      </c>
      <c r="AM2" s="278">
        <v>42998</v>
      </c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</row>
    <row r="3" spans="1:55" ht="18.75">
      <c r="A3" s="24" t="s">
        <v>3166</v>
      </c>
      <c r="B3" s="121">
        <f t="shared" ref="B3:B14" si="0">SUM(D3:BC3)</f>
        <v>15</v>
      </c>
      <c r="C3" s="279">
        <f t="shared" ref="C3:C14" si="1">B3*100/$C$1</f>
        <v>41.666666666666664</v>
      </c>
      <c r="D3" s="121"/>
      <c r="E3" s="121"/>
      <c r="F3" s="121"/>
      <c r="G3" s="121">
        <v>1</v>
      </c>
      <c r="H3" s="121">
        <v>1</v>
      </c>
      <c r="I3" s="121"/>
      <c r="J3" s="121"/>
      <c r="K3" s="121"/>
      <c r="L3" s="121"/>
      <c r="M3" s="121">
        <v>1</v>
      </c>
      <c r="N3" s="121">
        <v>1</v>
      </c>
      <c r="O3" s="121"/>
      <c r="P3" s="121">
        <v>1</v>
      </c>
      <c r="Q3" s="121">
        <v>1</v>
      </c>
      <c r="R3" s="121">
        <v>1</v>
      </c>
      <c r="S3" s="121"/>
      <c r="T3" s="121">
        <v>1</v>
      </c>
      <c r="U3" s="121">
        <v>1</v>
      </c>
      <c r="V3" s="121"/>
      <c r="W3" s="121">
        <v>1</v>
      </c>
      <c r="X3" s="121"/>
      <c r="Y3" s="121"/>
      <c r="Z3" s="121"/>
      <c r="AA3" s="121"/>
      <c r="AB3" s="121">
        <v>1</v>
      </c>
      <c r="AC3" s="121">
        <v>1</v>
      </c>
      <c r="AD3" s="121"/>
      <c r="AE3" s="121"/>
      <c r="AF3" s="121"/>
      <c r="AG3" s="121"/>
      <c r="AH3" s="121"/>
      <c r="AI3" s="121"/>
      <c r="AJ3" s="121"/>
      <c r="AK3" s="121">
        <v>1</v>
      </c>
      <c r="AL3" s="121">
        <v>1</v>
      </c>
      <c r="AM3" s="121">
        <v>1</v>
      </c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</row>
    <row r="4" spans="1:55" ht="18.75">
      <c r="A4" s="24" t="s">
        <v>3177</v>
      </c>
      <c r="B4" s="121">
        <f t="shared" si="0"/>
        <v>14</v>
      </c>
      <c r="C4" s="279">
        <f t="shared" si="1"/>
        <v>38.888888888888886</v>
      </c>
      <c r="D4" s="121">
        <v>1</v>
      </c>
      <c r="E4" s="121">
        <v>1</v>
      </c>
      <c r="F4" s="121"/>
      <c r="G4" s="121"/>
      <c r="H4" s="121"/>
      <c r="I4" s="121"/>
      <c r="J4" s="121"/>
      <c r="K4" s="121"/>
      <c r="L4" s="121">
        <v>1</v>
      </c>
      <c r="M4" s="121">
        <v>1</v>
      </c>
      <c r="N4" s="121">
        <v>1</v>
      </c>
      <c r="O4" s="121"/>
      <c r="P4" s="121"/>
      <c r="Q4" s="121">
        <v>1</v>
      </c>
      <c r="R4" s="121">
        <v>1</v>
      </c>
      <c r="S4" s="121"/>
      <c r="T4" s="121"/>
      <c r="U4" s="121">
        <v>1</v>
      </c>
      <c r="V4" s="121">
        <v>1</v>
      </c>
      <c r="W4" s="121">
        <v>1</v>
      </c>
      <c r="X4" s="121"/>
      <c r="Y4" s="121"/>
      <c r="Z4" s="121"/>
      <c r="AA4" s="121"/>
      <c r="AB4" s="121"/>
      <c r="AC4" s="121"/>
      <c r="AD4" s="121"/>
      <c r="AE4" s="121">
        <v>1</v>
      </c>
      <c r="AF4" s="121">
        <v>1</v>
      </c>
      <c r="AG4" s="121"/>
      <c r="AH4" s="121"/>
      <c r="AI4" s="121"/>
      <c r="AJ4" s="121">
        <v>1</v>
      </c>
      <c r="AK4" s="121"/>
      <c r="AL4" s="121"/>
      <c r="AM4" s="121">
        <v>1</v>
      </c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</row>
    <row r="5" spans="1:55" ht="18.75">
      <c r="A5" s="24" t="s">
        <v>3182</v>
      </c>
      <c r="B5" s="121">
        <f t="shared" si="0"/>
        <v>28</v>
      </c>
      <c r="C5" s="279">
        <f t="shared" si="1"/>
        <v>77.777777777777771</v>
      </c>
      <c r="D5" s="121">
        <v>1</v>
      </c>
      <c r="E5" s="121">
        <v>1</v>
      </c>
      <c r="F5" s="121">
        <v>1</v>
      </c>
      <c r="G5" s="121"/>
      <c r="H5" s="121">
        <v>1</v>
      </c>
      <c r="I5" s="121">
        <v>1</v>
      </c>
      <c r="J5" s="121"/>
      <c r="K5" s="121"/>
      <c r="L5" s="121">
        <v>1</v>
      </c>
      <c r="M5" s="121"/>
      <c r="N5" s="121">
        <v>1</v>
      </c>
      <c r="O5" s="121">
        <v>1</v>
      </c>
      <c r="P5" s="121">
        <v>1</v>
      </c>
      <c r="Q5" s="121">
        <v>1</v>
      </c>
      <c r="R5" s="121">
        <v>1</v>
      </c>
      <c r="S5" s="121">
        <v>1</v>
      </c>
      <c r="T5" s="121">
        <v>1</v>
      </c>
      <c r="U5" s="121"/>
      <c r="V5" s="121">
        <v>1</v>
      </c>
      <c r="W5" s="121">
        <v>1</v>
      </c>
      <c r="X5" s="121"/>
      <c r="Y5" s="121">
        <v>1</v>
      </c>
      <c r="Z5" s="121">
        <v>1</v>
      </c>
      <c r="AA5" s="121">
        <v>1</v>
      </c>
      <c r="AB5" s="121">
        <v>1</v>
      </c>
      <c r="AC5" s="121">
        <v>1</v>
      </c>
      <c r="AD5" s="121">
        <v>1</v>
      </c>
      <c r="AE5" s="121"/>
      <c r="AF5" s="121">
        <v>1</v>
      </c>
      <c r="AG5" s="121"/>
      <c r="AH5" s="121">
        <v>1</v>
      </c>
      <c r="AI5" s="121">
        <v>1</v>
      </c>
      <c r="AJ5" s="121">
        <v>1</v>
      </c>
      <c r="AK5" s="121">
        <v>1</v>
      </c>
      <c r="AL5" s="121">
        <v>1</v>
      </c>
      <c r="AM5" s="121">
        <v>1</v>
      </c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</row>
    <row r="6" spans="1:55" ht="18.75">
      <c r="A6" s="24" t="s">
        <v>3187</v>
      </c>
      <c r="B6" s="121">
        <f t="shared" si="0"/>
        <v>18</v>
      </c>
      <c r="C6" s="279">
        <f t="shared" si="1"/>
        <v>50</v>
      </c>
      <c r="D6" s="121">
        <v>1</v>
      </c>
      <c r="E6" s="121">
        <v>1</v>
      </c>
      <c r="F6" s="121">
        <v>1</v>
      </c>
      <c r="G6" s="121">
        <v>1</v>
      </c>
      <c r="H6" s="121">
        <v>1</v>
      </c>
      <c r="I6" s="121"/>
      <c r="J6" s="121">
        <v>1</v>
      </c>
      <c r="K6" s="121"/>
      <c r="L6" s="121"/>
      <c r="M6" s="121"/>
      <c r="N6" s="121"/>
      <c r="O6" s="121"/>
      <c r="P6" s="121"/>
      <c r="Q6" s="121"/>
      <c r="R6" s="121"/>
      <c r="S6" s="121"/>
      <c r="T6" s="121">
        <v>1</v>
      </c>
      <c r="U6" s="121"/>
      <c r="V6" s="121">
        <v>1</v>
      </c>
      <c r="W6" s="121">
        <v>1</v>
      </c>
      <c r="X6" s="121">
        <v>1</v>
      </c>
      <c r="Y6" s="121">
        <v>1</v>
      </c>
      <c r="Z6" s="121">
        <v>1</v>
      </c>
      <c r="AA6" s="121">
        <v>1</v>
      </c>
      <c r="AB6" s="121">
        <v>1</v>
      </c>
      <c r="AC6" s="121">
        <v>1</v>
      </c>
      <c r="AD6" s="121"/>
      <c r="AE6" s="121">
        <v>1</v>
      </c>
      <c r="AF6" s="121"/>
      <c r="AG6" s="121"/>
      <c r="AH6" s="121"/>
      <c r="AI6" s="121">
        <v>1</v>
      </c>
      <c r="AJ6" s="121">
        <v>1</v>
      </c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</row>
    <row r="7" spans="1:55" ht="18.75">
      <c r="A7" s="24" t="s">
        <v>3192</v>
      </c>
      <c r="B7" s="121">
        <f t="shared" si="0"/>
        <v>33</v>
      </c>
      <c r="C7" s="279">
        <f t="shared" si="1"/>
        <v>91.666666666666671</v>
      </c>
      <c r="D7" s="121">
        <v>1</v>
      </c>
      <c r="E7" s="121">
        <v>1</v>
      </c>
      <c r="F7" s="121">
        <v>1</v>
      </c>
      <c r="G7" s="121">
        <v>1</v>
      </c>
      <c r="H7" s="121">
        <v>1</v>
      </c>
      <c r="I7" s="121"/>
      <c r="J7" s="121">
        <v>1</v>
      </c>
      <c r="K7" s="121">
        <v>1</v>
      </c>
      <c r="L7" s="121">
        <v>1</v>
      </c>
      <c r="M7" s="121">
        <v>1</v>
      </c>
      <c r="N7" s="121">
        <v>1</v>
      </c>
      <c r="O7" s="121">
        <v>1</v>
      </c>
      <c r="P7" s="121">
        <v>1</v>
      </c>
      <c r="Q7" s="121">
        <v>1</v>
      </c>
      <c r="R7" s="121">
        <v>1</v>
      </c>
      <c r="S7" s="121">
        <v>1</v>
      </c>
      <c r="T7" s="121"/>
      <c r="U7" s="121">
        <v>1</v>
      </c>
      <c r="V7" s="121">
        <v>1</v>
      </c>
      <c r="W7" s="121">
        <v>1</v>
      </c>
      <c r="X7" s="121">
        <v>1</v>
      </c>
      <c r="Y7" s="121">
        <v>1</v>
      </c>
      <c r="Z7" s="121">
        <v>1</v>
      </c>
      <c r="AA7" s="121">
        <v>1</v>
      </c>
      <c r="AB7" s="121">
        <v>1</v>
      </c>
      <c r="AC7" s="121">
        <v>1</v>
      </c>
      <c r="AD7" s="121">
        <v>1</v>
      </c>
      <c r="AE7" s="121">
        <v>1</v>
      </c>
      <c r="AF7" s="121">
        <v>1</v>
      </c>
      <c r="AG7" s="121">
        <v>1</v>
      </c>
      <c r="AH7" s="121">
        <v>1</v>
      </c>
      <c r="AI7" s="121">
        <v>1</v>
      </c>
      <c r="AJ7" s="121">
        <v>1</v>
      </c>
      <c r="AK7" s="121" t="s">
        <v>3194</v>
      </c>
      <c r="AL7" s="121">
        <v>1</v>
      </c>
      <c r="AM7" s="121">
        <v>1</v>
      </c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</row>
    <row r="8" spans="1:55" ht="18.75">
      <c r="A8" s="24" t="s">
        <v>3196</v>
      </c>
      <c r="B8" s="121">
        <f t="shared" si="0"/>
        <v>11</v>
      </c>
      <c r="C8" s="279">
        <f t="shared" si="1"/>
        <v>30.555555555555557</v>
      </c>
      <c r="D8" s="121"/>
      <c r="E8" s="121"/>
      <c r="F8" s="121"/>
      <c r="G8" s="121"/>
      <c r="H8" s="121"/>
      <c r="I8" s="121"/>
      <c r="J8" s="121"/>
      <c r="K8" s="121"/>
      <c r="L8" s="121">
        <v>1</v>
      </c>
      <c r="M8" s="121"/>
      <c r="N8" s="121"/>
      <c r="O8" s="121"/>
      <c r="P8" s="121">
        <v>1</v>
      </c>
      <c r="Q8" s="121">
        <v>1</v>
      </c>
      <c r="R8" s="121"/>
      <c r="S8" s="121"/>
      <c r="T8" s="121"/>
      <c r="U8" s="121">
        <v>1</v>
      </c>
      <c r="V8" s="121"/>
      <c r="W8" s="121">
        <v>1</v>
      </c>
      <c r="X8" s="121">
        <v>1</v>
      </c>
      <c r="Y8" s="121"/>
      <c r="Z8" s="121"/>
      <c r="AA8" s="121">
        <v>1</v>
      </c>
      <c r="AB8" s="121"/>
      <c r="AC8" s="121">
        <v>1</v>
      </c>
      <c r="AD8" s="121">
        <v>1</v>
      </c>
      <c r="AE8" s="121"/>
      <c r="AF8" s="121"/>
      <c r="AG8" s="121">
        <v>1</v>
      </c>
      <c r="AH8" s="121"/>
      <c r="AI8" s="121"/>
      <c r="AJ8" s="121"/>
      <c r="AK8" s="121"/>
      <c r="AL8" s="121"/>
      <c r="AM8" s="121">
        <v>1</v>
      </c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</row>
    <row r="9" spans="1:55" ht="18.75">
      <c r="A9" s="24" t="s">
        <v>3199</v>
      </c>
      <c r="B9" s="121">
        <f t="shared" si="0"/>
        <v>26</v>
      </c>
      <c r="C9" s="279">
        <f t="shared" si="1"/>
        <v>72.222222222222229</v>
      </c>
      <c r="D9" s="121">
        <v>1</v>
      </c>
      <c r="E9" s="121"/>
      <c r="F9" s="121">
        <v>1</v>
      </c>
      <c r="G9" s="121">
        <v>1</v>
      </c>
      <c r="H9" s="121">
        <v>1</v>
      </c>
      <c r="I9" s="121">
        <v>1</v>
      </c>
      <c r="J9" s="121">
        <v>1</v>
      </c>
      <c r="K9" s="121"/>
      <c r="L9" s="121">
        <v>1</v>
      </c>
      <c r="M9" s="121">
        <v>1</v>
      </c>
      <c r="N9" s="121">
        <v>1</v>
      </c>
      <c r="O9" s="121">
        <v>1</v>
      </c>
      <c r="P9" s="121"/>
      <c r="Q9" s="121">
        <v>1</v>
      </c>
      <c r="R9" s="121"/>
      <c r="S9" s="121"/>
      <c r="T9" s="121">
        <v>1</v>
      </c>
      <c r="U9" s="121">
        <v>1</v>
      </c>
      <c r="V9" s="121">
        <v>1</v>
      </c>
      <c r="W9" s="121">
        <v>1</v>
      </c>
      <c r="X9" s="121">
        <v>1</v>
      </c>
      <c r="Y9" s="121">
        <v>1</v>
      </c>
      <c r="Z9" s="121">
        <v>1</v>
      </c>
      <c r="AA9" s="121">
        <v>1</v>
      </c>
      <c r="AB9" s="121">
        <v>1</v>
      </c>
      <c r="AC9" s="121">
        <v>1</v>
      </c>
      <c r="AD9" s="121">
        <v>1</v>
      </c>
      <c r="AE9" s="121"/>
      <c r="AF9" s="121">
        <v>1</v>
      </c>
      <c r="AG9" s="121"/>
      <c r="AH9" s="121">
        <v>1</v>
      </c>
      <c r="AI9" s="121"/>
      <c r="AJ9" s="121"/>
      <c r="AK9" s="121">
        <v>1</v>
      </c>
      <c r="AL9" s="121"/>
      <c r="AM9" s="121">
        <v>1</v>
      </c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</row>
    <row r="10" spans="1:55" ht="18.75">
      <c r="A10" s="24" t="s">
        <v>3204</v>
      </c>
      <c r="B10" s="121">
        <f t="shared" si="0"/>
        <v>12</v>
      </c>
      <c r="C10" s="279">
        <f t="shared" si="1"/>
        <v>33.333333333333336</v>
      </c>
      <c r="D10" s="121">
        <v>1</v>
      </c>
      <c r="E10" s="121"/>
      <c r="F10" s="121">
        <v>1</v>
      </c>
      <c r="G10" s="121"/>
      <c r="H10" s="121"/>
      <c r="I10" s="121"/>
      <c r="J10" s="121"/>
      <c r="K10" s="121"/>
      <c r="L10" s="121">
        <v>1</v>
      </c>
      <c r="M10" s="121">
        <v>1</v>
      </c>
      <c r="N10" s="121"/>
      <c r="O10" s="121"/>
      <c r="P10" s="121">
        <v>1</v>
      </c>
      <c r="Q10" s="121"/>
      <c r="R10" s="121">
        <v>1</v>
      </c>
      <c r="S10" s="121">
        <v>1</v>
      </c>
      <c r="T10" s="121"/>
      <c r="U10" s="121">
        <v>1</v>
      </c>
      <c r="V10" s="121">
        <v>1</v>
      </c>
      <c r="W10" s="121">
        <v>1</v>
      </c>
      <c r="X10" s="121">
        <v>1</v>
      </c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>
        <v>1</v>
      </c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</row>
    <row r="11" spans="1:55" ht="18.75">
      <c r="A11" s="24" t="s">
        <v>3207</v>
      </c>
      <c r="B11" s="121">
        <f t="shared" si="0"/>
        <v>15</v>
      </c>
      <c r="C11" s="279">
        <f t="shared" si="1"/>
        <v>41.666666666666664</v>
      </c>
      <c r="D11" s="121">
        <v>1</v>
      </c>
      <c r="E11" s="121">
        <v>1</v>
      </c>
      <c r="F11" s="121">
        <v>1</v>
      </c>
      <c r="G11" s="121"/>
      <c r="H11" s="121"/>
      <c r="I11" s="121"/>
      <c r="J11" s="121"/>
      <c r="K11" s="121"/>
      <c r="L11" s="121">
        <v>1</v>
      </c>
      <c r="M11" s="121"/>
      <c r="N11" s="121">
        <v>1</v>
      </c>
      <c r="O11" s="121"/>
      <c r="P11" s="121">
        <v>1</v>
      </c>
      <c r="Q11" s="121"/>
      <c r="R11" s="121"/>
      <c r="S11" s="121"/>
      <c r="T11" s="121"/>
      <c r="U11" s="121">
        <v>1</v>
      </c>
      <c r="V11" s="121"/>
      <c r="W11" s="121">
        <v>1</v>
      </c>
      <c r="X11" s="121"/>
      <c r="Y11" s="121">
        <v>1</v>
      </c>
      <c r="Z11" s="121"/>
      <c r="AA11" s="121"/>
      <c r="AB11" s="121"/>
      <c r="AC11" s="121"/>
      <c r="AD11" s="121">
        <v>1</v>
      </c>
      <c r="AE11" s="121"/>
      <c r="AF11" s="121">
        <v>1</v>
      </c>
      <c r="AG11" s="121"/>
      <c r="AH11" s="121"/>
      <c r="AI11" s="121">
        <v>1</v>
      </c>
      <c r="AJ11" s="121"/>
      <c r="AK11" s="121">
        <v>1</v>
      </c>
      <c r="AL11" s="121">
        <v>1</v>
      </c>
      <c r="AM11" s="121">
        <v>1</v>
      </c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</row>
    <row r="12" spans="1:55" ht="18.75">
      <c r="A12" s="24" t="s">
        <v>3210</v>
      </c>
      <c r="B12" s="121">
        <f t="shared" si="0"/>
        <v>9</v>
      </c>
      <c r="C12" s="279">
        <f t="shared" si="1"/>
        <v>25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>
        <v>1</v>
      </c>
      <c r="N12" s="121">
        <v>1</v>
      </c>
      <c r="O12" s="121"/>
      <c r="P12" s="121">
        <v>1</v>
      </c>
      <c r="Q12" s="121"/>
      <c r="R12" s="121">
        <v>1</v>
      </c>
      <c r="S12" s="121">
        <v>1</v>
      </c>
      <c r="T12" s="121"/>
      <c r="U12" s="121">
        <v>1</v>
      </c>
      <c r="V12" s="121"/>
      <c r="W12" s="121"/>
      <c r="X12" s="121"/>
      <c r="Y12" s="121">
        <v>1</v>
      </c>
      <c r="Z12" s="121">
        <v>1</v>
      </c>
      <c r="AA12" s="121"/>
      <c r="AB12" s="121"/>
      <c r="AC12" s="121"/>
      <c r="AD12" s="121"/>
      <c r="AE12" s="121"/>
      <c r="AF12" s="121"/>
      <c r="AG12" s="121"/>
      <c r="AH12" s="121">
        <v>1</v>
      </c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</row>
    <row r="13" spans="1:55" ht="18.75">
      <c r="A13" s="24" t="s">
        <v>3213</v>
      </c>
      <c r="B13" s="121">
        <f t="shared" si="0"/>
        <v>12</v>
      </c>
      <c r="C13" s="279">
        <f t="shared" si="1"/>
        <v>33.333333333333336</v>
      </c>
      <c r="D13" s="121"/>
      <c r="E13" s="121"/>
      <c r="F13" s="121"/>
      <c r="G13" s="121"/>
      <c r="H13" s="121"/>
      <c r="I13" s="121"/>
      <c r="J13" s="121"/>
      <c r="K13" s="121"/>
      <c r="L13" s="121">
        <v>1</v>
      </c>
      <c r="M13" s="121">
        <v>1</v>
      </c>
      <c r="N13" s="121">
        <v>1</v>
      </c>
      <c r="O13" s="121"/>
      <c r="P13" s="121"/>
      <c r="Q13" s="121">
        <v>1</v>
      </c>
      <c r="R13" s="121"/>
      <c r="S13" s="121"/>
      <c r="T13" s="121">
        <v>1</v>
      </c>
      <c r="U13" s="121">
        <v>1</v>
      </c>
      <c r="V13" s="121"/>
      <c r="W13" s="121">
        <v>1</v>
      </c>
      <c r="X13" s="121"/>
      <c r="Y13" s="121"/>
      <c r="Z13" s="121"/>
      <c r="AA13" s="121"/>
      <c r="AB13" s="121"/>
      <c r="AC13" s="121"/>
      <c r="AD13" s="121">
        <v>1</v>
      </c>
      <c r="AE13" s="121">
        <v>1</v>
      </c>
      <c r="AF13" s="121"/>
      <c r="AG13" s="121">
        <v>1</v>
      </c>
      <c r="AH13" s="121">
        <v>1</v>
      </c>
      <c r="AI13" s="121">
        <v>1</v>
      </c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</row>
    <row r="14" spans="1:55" ht="18.75">
      <c r="A14" s="24" t="s">
        <v>3216</v>
      </c>
      <c r="B14" s="121">
        <f t="shared" si="0"/>
        <v>32</v>
      </c>
      <c r="C14" s="279">
        <f t="shared" si="1"/>
        <v>88.888888888888886</v>
      </c>
      <c r="D14" s="121">
        <v>1</v>
      </c>
      <c r="E14" s="121"/>
      <c r="F14" s="121">
        <v>1</v>
      </c>
      <c r="G14" s="121">
        <v>1</v>
      </c>
      <c r="H14" s="121">
        <v>1</v>
      </c>
      <c r="I14" s="121">
        <v>1</v>
      </c>
      <c r="J14" s="121">
        <v>1</v>
      </c>
      <c r="K14" s="121">
        <v>1</v>
      </c>
      <c r="L14" s="121">
        <v>1</v>
      </c>
      <c r="M14" s="121">
        <v>1</v>
      </c>
      <c r="N14" s="121">
        <v>1</v>
      </c>
      <c r="O14" s="121">
        <v>1</v>
      </c>
      <c r="P14" s="121"/>
      <c r="Q14" s="121">
        <v>1</v>
      </c>
      <c r="R14" s="121">
        <v>1</v>
      </c>
      <c r="S14" s="121"/>
      <c r="T14" s="121">
        <v>1</v>
      </c>
      <c r="U14" s="121">
        <v>1</v>
      </c>
      <c r="V14" s="121">
        <v>1</v>
      </c>
      <c r="W14" s="121">
        <v>1</v>
      </c>
      <c r="X14" s="121">
        <v>1</v>
      </c>
      <c r="Y14" s="121">
        <v>1</v>
      </c>
      <c r="Z14" s="121">
        <v>1</v>
      </c>
      <c r="AA14" s="121">
        <v>1</v>
      </c>
      <c r="AB14" s="121">
        <v>1</v>
      </c>
      <c r="AC14" s="121">
        <v>1</v>
      </c>
      <c r="AD14" s="121">
        <v>1</v>
      </c>
      <c r="AE14" s="121">
        <v>1</v>
      </c>
      <c r="AF14" s="121">
        <v>1</v>
      </c>
      <c r="AG14" s="121">
        <v>1</v>
      </c>
      <c r="AH14" s="121">
        <v>1</v>
      </c>
      <c r="AI14" s="121">
        <v>1</v>
      </c>
      <c r="AJ14" s="121">
        <v>1</v>
      </c>
      <c r="AK14" s="121"/>
      <c r="AL14" s="121">
        <v>1</v>
      </c>
      <c r="AM14" s="121">
        <v>1</v>
      </c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</row>
    <row r="15" spans="1:55" ht="18.75">
      <c r="A15" s="277"/>
      <c r="B15" s="280"/>
      <c r="C15" s="280"/>
      <c r="D15" s="277">
        <f>SUM(D3:D14)</f>
        <v>8</v>
      </c>
      <c r="E15" s="277">
        <f>SUM(E3:E14)</f>
        <v>5</v>
      </c>
      <c r="F15" s="277">
        <f>SUM(F3:F14)</f>
        <v>7</v>
      </c>
      <c r="G15" s="277"/>
      <c r="H15" s="277">
        <f t="shared" ref="H15:AE15" si="2">SUM(H3:H14)</f>
        <v>6</v>
      </c>
      <c r="I15" s="277">
        <f t="shared" si="2"/>
        <v>3</v>
      </c>
      <c r="J15" s="277">
        <f t="shared" si="2"/>
        <v>4</v>
      </c>
      <c r="K15" s="277">
        <f t="shared" si="2"/>
        <v>2</v>
      </c>
      <c r="L15" s="277">
        <f t="shared" si="2"/>
        <v>9</v>
      </c>
      <c r="M15" s="277">
        <f t="shared" si="2"/>
        <v>8</v>
      </c>
      <c r="N15" s="277">
        <f t="shared" si="2"/>
        <v>9</v>
      </c>
      <c r="O15" s="277">
        <f t="shared" si="2"/>
        <v>4</v>
      </c>
      <c r="P15" s="277">
        <f t="shared" si="2"/>
        <v>7</v>
      </c>
      <c r="Q15" s="277">
        <f t="shared" si="2"/>
        <v>8</v>
      </c>
      <c r="R15" s="277">
        <f t="shared" si="2"/>
        <v>7</v>
      </c>
      <c r="S15" s="277">
        <f t="shared" si="2"/>
        <v>4</v>
      </c>
      <c r="T15" s="277">
        <f t="shared" si="2"/>
        <v>6</v>
      </c>
      <c r="U15" s="277">
        <f t="shared" si="2"/>
        <v>10</v>
      </c>
      <c r="V15" s="277">
        <f t="shared" si="2"/>
        <v>7</v>
      </c>
      <c r="W15" s="277">
        <f t="shared" si="2"/>
        <v>11</v>
      </c>
      <c r="X15" s="277">
        <f t="shared" si="2"/>
        <v>6</v>
      </c>
      <c r="Y15" s="277">
        <f t="shared" si="2"/>
        <v>7</v>
      </c>
      <c r="Z15" s="277">
        <f t="shared" si="2"/>
        <v>6</v>
      </c>
      <c r="AA15" s="277">
        <f t="shared" si="2"/>
        <v>6</v>
      </c>
      <c r="AB15" s="277">
        <f t="shared" si="2"/>
        <v>6</v>
      </c>
      <c r="AC15" s="277">
        <f t="shared" si="2"/>
        <v>7</v>
      </c>
      <c r="AD15" s="277">
        <f t="shared" si="2"/>
        <v>7</v>
      </c>
      <c r="AE15" s="277">
        <f t="shared" si="2"/>
        <v>5</v>
      </c>
      <c r="AF15" s="277"/>
      <c r="AG15" s="277">
        <f t="shared" ref="AG15:BC15" si="3">SUM(AG3:AG14)</f>
        <v>4</v>
      </c>
      <c r="AH15" s="277">
        <f t="shared" si="3"/>
        <v>6</v>
      </c>
      <c r="AI15" s="277">
        <f t="shared" si="3"/>
        <v>6</v>
      </c>
      <c r="AJ15" s="277">
        <f t="shared" si="3"/>
        <v>5</v>
      </c>
      <c r="AK15" s="277">
        <f t="shared" si="3"/>
        <v>4</v>
      </c>
      <c r="AL15" s="277">
        <f t="shared" si="3"/>
        <v>6</v>
      </c>
      <c r="AM15" s="277">
        <f t="shared" si="3"/>
        <v>8</v>
      </c>
      <c r="AN15" s="277">
        <f t="shared" si="3"/>
        <v>0</v>
      </c>
      <c r="AO15" s="277">
        <f t="shared" si="3"/>
        <v>0</v>
      </c>
      <c r="AP15" s="277">
        <f t="shared" si="3"/>
        <v>0</v>
      </c>
      <c r="AQ15" s="277">
        <f t="shared" si="3"/>
        <v>0</v>
      </c>
      <c r="AR15" s="277">
        <f t="shared" si="3"/>
        <v>0</v>
      </c>
      <c r="AS15" s="277">
        <f t="shared" si="3"/>
        <v>0</v>
      </c>
      <c r="AT15" s="277">
        <f t="shared" si="3"/>
        <v>0</v>
      </c>
      <c r="AU15" s="277">
        <f t="shared" si="3"/>
        <v>0</v>
      </c>
      <c r="AV15" s="277">
        <f t="shared" si="3"/>
        <v>0</v>
      </c>
      <c r="AW15" s="277">
        <f t="shared" si="3"/>
        <v>0</v>
      </c>
      <c r="AX15" s="277">
        <f t="shared" si="3"/>
        <v>0</v>
      </c>
      <c r="AY15" s="277">
        <f t="shared" si="3"/>
        <v>0</v>
      </c>
      <c r="AZ15" s="277">
        <f t="shared" si="3"/>
        <v>0</v>
      </c>
      <c r="BA15" s="277">
        <f t="shared" si="3"/>
        <v>0</v>
      </c>
      <c r="BB15" s="277">
        <f t="shared" si="3"/>
        <v>0</v>
      </c>
      <c r="BC15" s="277">
        <f t="shared" si="3"/>
        <v>0</v>
      </c>
    </row>
    <row r="16" spans="1:55" ht="37.5">
      <c r="A16" s="277"/>
      <c r="B16" s="280"/>
      <c r="C16" s="277" t="s">
        <v>3232</v>
      </c>
      <c r="D16" s="281">
        <f>D15*100/12</f>
        <v>66.666666666666671</v>
      </c>
      <c r="E16" s="281">
        <f>E15*100/12</f>
        <v>41.666666666666664</v>
      </c>
      <c r="F16" s="281">
        <f>F15*100/12</f>
        <v>58.333333333333336</v>
      </c>
      <c r="G16" s="281"/>
      <c r="H16" s="281">
        <f t="shared" ref="H16:AE16" si="4">H15*100/12</f>
        <v>50</v>
      </c>
      <c r="I16" s="281">
        <f t="shared" si="4"/>
        <v>25</v>
      </c>
      <c r="J16" s="281">
        <f t="shared" si="4"/>
        <v>33.333333333333336</v>
      </c>
      <c r="K16" s="281">
        <f t="shared" si="4"/>
        <v>16.666666666666668</v>
      </c>
      <c r="L16" s="281">
        <f t="shared" si="4"/>
        <v>75</v>
      </c>
      <c r="M16" s="281">
        <f t="shared" si="4"/>
        <v>66.666666666666671</v>
      </c>
      <c r="N16" s="281">
        <f t="shared" si="4"/>
        <v>75</v>
      </c>
      <c r="O16" s="281">
        <f t="shared" si="4"/>
        <v>33.333333333333336</v>
      </c>
      <c r="P16" s="281">
        <f t="shared" si="4"/>
        <v>58.333333333333336</v>
      </c>
      <c r="Q16" s="281">
        <f t="shared" si="4"/>
        <v>66.666666666666671</v>
      </c>
      <c r="R16" s="281">
        <f t="shared" si="4"/>
        <v>58.333333333333336</v>
      </c>
      <c r="S16" s="281">
        <f t="shared" si="4"/>
        <v>33.333333333333336</v>
      </c>
      <c r="T16" s="281">
        <f t="shared" si="4"/>
        <v>50</v>
      </c>
      <c r="U16" s="281">
        <f t="shared" si="4"/>
        <v>83.333333333333329</v>
      </c>
      <c r="V16" s="281">
        <f t="shared" si="4"/>
        <v>58.333333333333336</v>
      </c>
      <c r="W16" s="281">
        <f t="shared" si="4"/>
        <v>91.666666666666671</v>
      </c>
      <c r="X16" s="281">
        <f t="shared" si="4"/>
        <v>50</v>
      </c>
      <c r="Y16" s="281">
        <f t="shared" si="4"/>
        <v>58.333333333333336</v>
      </c>
      <c r="Z16" s="281">
        <f t="shared" si="4"/>
        <v>50</v>
      </c>
      <c r="AA16" s="281">
        <f t="shared" si="4"/>
        <v>50</v>
      </c>
      <c r="AB16" s="281">
        <f t="shared" si="4"/>
        <v>50</v>
      </c>
      <c r="AC16" s="281">
        <f t="shared" si="4"/>
        <v>58.333333333333336</v>
      </c>
      <c r="AD16" s="281">
        <f t="shared" si="4"/>
        <v>58.333333333333336</v>
      </c>
      <c r="AE16" s="281">
        <f t="shared" si="4"/>
        <v>41.666666666666664</v>
      </c>
      <c r="AF16" s="281"/>
      <c r="AG16" s="281">
        <f t="shared" ref="AG16:BC16" si="5">AG15*100/12</f>
        <v>33.333333333333336</v>
      </c>
      <c r="AH16" s="281">
        <f t="shared" si="5"/>
        <v>50</v>
      </c>
      <c r="AI16" s="281">
        <f t="shared" si="5"/>
        <v>50</v>
      </c>
      <c r="AJ16" s="281">
        <f t="shared" si="5"/>
        <v>41.666666666666664</v>
      </c>
      <c r="AK16" s="281">
        <f t="shared" si="5"/>
        <v>33.333333333333336</v>
      </c>
      <c r="AL16" s="281">
        <f t="shared" si="5"/>
        <v>50</v>
      </c>
      <c r="AM16" s="281">
        <f t="shared" si="5"/>
        <v>66.666666666666671</v>
      </c>
      <c r="AN16" s="281">
        <f t="shared" si="5"/>
        <v>0</v>
      </c>
      <c r="AO16" s="281">
        <f t="shared" si="5"/>
        <v>0</v>
      </c>
      <c r="AP16" s="281">
        <f t="shared" si="5"/>
        <v>0</v>
      </c>
      <c r="AQ16" s="281">
        <f t="shared" si="5"/>
        <v>0</v>
      </c>
      <c r="AR16" s="281">
        <f t="shared" si="5"/>
        <v>0</v>
      </c>
      <c r="AS16" s="281">
        <f t="shared" si="5"/>
        <v>0</v>
      </c>
      <c r="AT16" s="281">
        <f t="shared" si="5"/>
        <v>0</v>
      </c>
      <c r="AU16" s="281">
        <f t="shared" si="5"/>
        <v>0</v>
      </c>
      <c r="AV16" s="281">
        <f t="shared" si="5"/>
        <v>0</v>
      </c>
      <c r="AW16" s="281">
        <f t="shared" si="5"/>
        <v>0</v>
      </c>
      <c r="AX16" s="281">
        <f t="shared" si="5"/>
        <v>0</v>
      </c>
      <c r="AY16" s="281">
        <f t="shared" si="5"/>
        <v>0</v>
      </c>
      <c r="AZ16" s="281">
        <f t="shared" si="5"/>
        <v>0</v>
      </c>
      <c r="BA16" s="281">
        <f t="shared" si="5"/>
        <v>0</v>
      </c>
      <c r="BB16" s="281">
        <f t="shared" si="5"/>
        <v>0</v>
      </c>
      <c r="BC16" s="281">
        <f t="shared" si="5"/>
        <v>0</v>
      </c>
    </row>
    <row r="17" spans="1:55" ht="18.75">
      <c r="A17" s="277" t="s">
        <v>3254</v>
      </c>
      <c r="B17" s="280"/>
      <c r="C17" s="280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  <c r="AU17" s="277"/>
      <c r="AV17" s="277"/>
      <c r="AW17" s="277"/>
      <c r="AX17" s="277"/>
      <c r="AY17" s="277"/>
      <c r="AZ17" s="277"/>
      <c r="BA17" s="277"/>
      <c r="BB17" s="277"/>
      <c r="BC17" s="277"/>
    </row>
    <row r="18" spans="1:55" ht="27">
      <c r="A18" s="24"/>
      <c r="B18" s="121">
        <f t="shared" ref="B18:B24" si="6">COUNTA(D18:BC18)</f>
        <v>30</v>
      </c>
      <c r="C18" s="282"/>
      <c r="D18" s="282" t="s">
        <v>3260</v>
      </c>
      <c r="E18" s="282" t="s">
        <v>3260</v>
      </c>
      <c r="F18" s="282" t="s">
        <v>3261</v>
      </c>
      <c r="G18" s="282" t="s">
        <v>3261</v>
      </c>
      <c r="H18" s="282" t="s">
        <v>3261</v>
      </c>
      <c r="I18" s="282" t="s">
        <v>3262</v>
      </c>
      <c r="J18" s="282" t="s">
        <v>3263</v>
      </c>
      <c r="K18" s="282" t="s">
        <v>3264</v>
      </c>
      <c r="L18" s="282" t="s">
        <v>3265</v>
      </c>
      <c r="M18" s="282" t="s">
        <v>3266</v>
      </c>
      <c r="N18" s="282" t="s">
        <v>3267</v>
      </c>
      <c r="O18" s="282" t="s">
        <v>3268</v>
      </c>
      <c r="P18" s="282" t="s">
        <v>3269</v>
      </c>
      <c r="Q18" s="282"/>
      <c r="R18" s="282" t="s">
        <v>3270</v>
      </c>
      <c r="S18" s="282" t="s">
        <v>3270</v>
      </c>
      <c r="T18" s="282" t="s">
        <v>3271</v>
      </c>
      <c r="U18" s="282"/>
      <c r="V18" s="282" t="s">
        <v>3272</v>
      </c>
      <c r="W18" s="282"/>
      <c r="X18" s="282" t="s">
        <v>3269</v>
      </c>
      <c r="Y18" s="282" t="s">
        <v>3269</v>
      </c>
      <c r="Z18" s="282"/>
      <c r="AA18" s="282"/>
      <c r="AB18" s="282" t="s">
        <v>3274</v>
      </c>
      <c r="AC18" s="282" t="s">
        <v>3274</v>
      </c>
      <c r="AD18" s="282" t="s">
        <v>3275</v>
      </c>
      <c r="AE18" s="282" t="s">
        <v>3269</v>
      </c>
      <c r="AF18" s="282"/>
      <c r="AG18" s="282" t="s">
        <v>3277</v>
      </c>
      <c r="AH18" s="282" t="s">
        <v>3278</v>
      </c>
      <c r="AI18" s="282" t="s">
        <v>3277</v>
      </c>
      <c r="AJ18" s="282" t="s">
        <v>3279</v>
      </c>
      <c r="AK18" s="282" t="s">
        <v>3280</v>
      </c>
      <c r="AL18" s="282" t="s">
        <v>3281</v>
      </c>
      <c r="AM18" s="282" t="s">
        <v>3282</v>
      </c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3"/>
      <c r="BA18" s="283"/>
      <c r="BB18" s="283"/>
      <c r="BC18" s="283"/>
    </row>
    <row r="19" spans="1:55" ht="27">
      <c r="A19" s="24"/>
      <c r="B19" s="121">
        <f t="shared" si="6"/>
        <v>21</v>
      </c>
      <c r="C19" s="282"/>
      <c r="D19" s="282" t="s">
        <v>3261</v>
      </c>
      <c r="E19" s="282" t="s">
        <v>3261</v>
      </c>
      <c r="F19" s="282" t="s">
        <v>3285</v>
      </c>
      <c r="G19" s="282" t="s">
        <v>3266</v>
      </c>
      <c r="H19" s="282" t="s">
        <v>3266</v>
      </c>
      <c r="I19" s="282" t="s">
        <v>3266</v>
      </c>
      <c r="J19" s="282" t="s">
        <v>3286</v>
      </c>
      <c r="K19" s="282" t="s">
        <v>3280</v>
      </c>
      <c r="L19" s="282" t="s">
        <v>3287</v>
      </c>
      <c r="M19" s="282" t="s">
        <v>3288</v>
      </c>
      <c r="N19" s="282" t="s">
        <v>3268</v>
      </c>
      <c r="O19" s="282" t="s">
        <v>3290</v>
      </c>
      <c r="P19" s="282"/>
      <c r="Q19" s="282"/>
      <c r="R19" s="282"/>
      <c r="S19" s="282"/>
      <c r="T19" s="282" t="s">
        <v>3285</v>
      </c>
      <c r="U19" s="282"/>
      <c r="V19" s="282" t="s">
        <v>3292</v>
      </c>
      <c r="W19" s="282"/>
      <c r="X19" s="282" t="s">
        <v>3293</v>
      </c>
      <c r="Y19" s="282"/>
      <c r="Z19" s="282"/>
      <c r="AA19" s="282"/>
      <c r="AB19" s="282" t="s">
        <v>3294</v>
      </c>
      <c r="AC19" s="282"/>
      <c r="AD19" s="282"/>
      <c r="AE19" s="282" t="s">
        <v>3274</v>
      </c>
      <c r="AF19" s="282"/>
      <c r="AG19" s="282" t="s">
        <v>3269</v>
      </c>
      <c r="AH19" s="282"/>
      <c r="AI19" s="282"/>
      <c r="AJ19" s="282" t="s">
        <v>3295</v>
      </c>
      <c r="AK19" s="282" t="s">
        <v>3296</v>
      </c>
      <c r="AL19" s="282"/>
      <c r="AM19" s="282" t="s">
        <v>3297</v>
      </c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283"/>
      <c r="BA19" s="283"/>
      <c r="BB19" s="283"/>
      <c r="BC19" s="283"/>
    </row>
    <row r="20" spans="1:55" ht="27">
      <c r="A20" s="24"/>
      <c r="B20" s="121">
        <f t="shared" si="6"/>
        <v>15</v>
      </c>
      <c r="C20" s="282"/>
      <c r="D20" s="282"/>
      <c r="E20" s="282"/>
      <c r="F20" s="282" t="s">
        <v>3280</v>
      </c>
      <c r="G20" s="282" t="s">
        <v>3300</v>
      </c>
      <c r="H20" s="282" t="s">
        <v>3300</v>
      </c>
      <c r="I20" s="282" t="s">
        <v>3300</v>
      </c>
      <c r="J20" s="282" t="s">
        <v>3280</v>
      </c>
      <c r="K20" s="282" t="s">
        <v>3301</v>
      </c>
      <c r="L20" s="282" t="s">
        <v>3302</v>
      </c>
      <c r="M20" s="282" t="s">
        <v>3300</v>
      </c>
      <c r="N20" s="282" t="s">
        <v>3303</v>
      </c>
      <c r="O20" s="282" t="s">
        <v>3304</v>
      </c>
      <c r="P20" s="282"/>
      <c r="Q20" s="282"/>
      <c r="R20" s="282"/>
      <c r="S20" s="282"/>
      <c r="T20" s="282" t="s">
        <v>3305</v>
      </c>
      <c r="U20" s="282"/>
      <c r="V20" s="282" t="s">
        <v>3306</v>
      </c>
      <c r="W20" s="282"/>
      <c r="X20" s="282" t="s">
        <v>3307</v>
      </c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 t="s">
        <v>3308</v>
      </c>
      <c r="AK20" s="282"/>
      <c r="AL20" s="282"/>
      <c r="AM20" s="282" t="s">
        <v>3309</v>
      </c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83"/>
      <c r="BA20" s="283"/>
      <c r="BB20" s="283"/>
      <c r="BC20" s="283"/>
    </row>
    <row r="21" spans="1:55" ht="27">
      <c r="A21" s="24"/>
      <c r="B21" s="121">
        <f t="shared" si="6"/>
        <v>10</v>
      </c>
      <c r="C21" s="282"/>
      <c r="D21" s="282"/>
      <c r="E21" s="282"/>
      <c r="F21" s="282"/>
      <c r="G21" s="282" t="s">
        <v>3310</v>
      </c>
      <c r="H21" s="282" t="s">
        <v>3280</v>
      </c>
      <c r="I21" s="282" t="s">
        <v>3311</v>
      </c>
      <c r="J21" s="282" t="s">
        <v>3312</v>
      </c>
      <c r="K21" s="282"/>
      <c r="L21" s="282"/>
      <c r="M21" s="282" t="s">
        <v>3313</v>
      </c>
      <c r="N21" s="282" t="s">
        <v>3280</v>
      </c>
      <c r="O21" s="282"/>
      <c r="P21" s="282"/>
      <c r="Q21" s="282"/>
      <c r="R21" s="282"/>
      <c r="S21" s="282"/>
      <c r="T21" s="282" t="s">
        <v>3314</v>
      </c>
      <c r="U21" s="282"/>
      <c r="V21" s="282" t="s">
        <v>3315</v>
      </c>
      <c r="W21" s="282"/>
      <c r="X21" s="282" t="s">
        <v>3316</v>
      </c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 t="s">
        <v>3318</v>
      </c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3"/>
      <c r="BA21" s="283"/>
      <c r="BB21" s="283"/>
      <c r="BC21" s="283"/>
    </row>
    <row r="22" spans="1:55" ht="18.75">
      <c r="A22" s="24"/>
      <c r="B22" s="121">
        <f t="shared" si="6"/>
        <v>6</v>
      </c>
      <c r="C22" s="282"/>
      <c r="D22" s="282"/>
      <c r="E22" s="282"/>
      <c r="F22" s="282"/>
      <c r="G22" s="282"/>
      <c r="H22" s="282" t="s">
        <v>3321</v>
      </c>
      <c r="I22" s="282" t="s">
        <v>3322</v>
      </c>
      <c r="J22" s="282" t="s">
        <v>3323</v>
      </c>
      <c r="K22" s="282"/>
      <c r="L22" s="282"/>
      <c r="M22" s="282" t="s">
        <v>3304</v>
      </c>
      <c r="N22" s="282"/>
      <c r="O22" s="282"/>
      <c r="P22" s="282"/>
      <c r="Q22" s="282"/>
      <c r="R22" s="282"/>
      <c r="S22" s="282"/>
      <c r="T22" s="282" t="s">
        <v>3324</v>
      </c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 t="s">
        <v>3326</v>
      </c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283"/>
      <c r="BA22" s="283"/>
      <c r="BB22" s="283"/>
      <c r="BC22" s="283"/>
    </row>
    <row r="23" spans="1:55" ht="18.75">
      <c r="A23" s="24"/>
      <c r="B23" s="121">
        <f t="shared" si="6"/>
        <v>0</v>
      </c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  <c r="AW23" s="282"/>
      <c r="AX23" s="282"/>
      <c r="AY23" s="282"/>
      <c r="AZ23" s="283"/>
      <c r="BA23" s="283"/>
      <c r="BB23" s="283"/>
      <c r="BC23" s="283"/>
    </row>
    <row r="24" spans="1:55" ht="18.75">
      <c r="A24" s="24"/>
      <c r="B24" s="121">
        <f t="shared" si="6"/>
        <v>0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  <c r="AW24" s="282"/>
      <c r="AX24" s="282"/>
      <c r="AY24" s="282"/>
      <c r="AZ24" s="283"/>
      <c r="BA24" s="283"/>
      <c r="BB24" s="283"/>
      <c r="BC24" s="283"/>
    </row>
  </sheetData>
  <mergeCells count="1">
    <mergeCell ref="A1:B1"/>
  </mergeCells>
  <conditionalFormatting sqref="B3:B14">
    <cfRule type="expression" dxfId="5" priority="1">
      <formula>maxn(B3:B14)</formula>
    </cfRule>
  </conditionalFormatting>
  <conditionalFormatting sqref="Y13">
    <cfRule type="notContainsBlanks" dxfId="4" priority="2">
      <formula>LEN(TRIM(Y13))&gt;0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FF00"/>
    <outlinePr summaryBelow="0" summaryRight="0"/>
    <pageSetUpPr fitToPage="1"/>
  </sheetPr>
  <dimension ref="A1:BC31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ColWidth="14.42578125" defaultRowHeight="15.75" customHeight="1"/>
  <cols>
    <col min="1" max="1" width="5.7109375" customWidth="1"/>
    <col min="2" max="2" width="23.85546875" customWidth="1"/>
    <col min="3" max="3" width="17.7109375" customWidth="1"/>
    <col min="4" max="4" width="12.42578125" customWidth="1"/>
    <col min="5" max="46" width="9.140625" customWidth="1"/>
    <col min="47" max="47" width="9.7109375" customWidth="1"/>
    <col min="48" max="49" width="9.140625" customWidth="1"/>
    <col min="50" max="55" width="9.7109375" customWidth="1"/>
  </cols>
  <sheetData>
    <row r="1" spans="1:55" ht="15.75" customHeight="1">
      <c r="A1" s="284"/>
      <c r="B1" s="533" t="s">
        <v>3141</v>
      </c>
      <c r="C1" s="499"/>
      <c r="D1" s="285">
        <f>COUNTA(E2:BB2)</f>
        <v>11</v>
      </c>
      <c r="E1" s="285" t="s">
        <v>3150</v>
      </c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</row>
    <row r="2" spans="1:55" ht="37.5">
      <c r="A2" s="277" t="s">
        <v>3367</v>
      </c>
      <c r="B2" s="277" t="s">
        <v>3156</v>
      </c>
      <c r="C2" s="277" t="s">
        <v>3158</v>
      </c>
      <c r="D2" s="277" t="s">
        <v>3159</v>
      </c>
      <c r="E2" s="280">
        <v>22312</v>
      </c>
      <c r="F2" s="280">
        <v>22317</v>
      </c>
      <c r="G2" s="280">
        <v>22403</v>
      </c>
      <c r="H2" s="287">
        <v>22410</v>
      </c>
      <c r="I2" s="280">
        <v>22438</v>
      </c>
      <c r="J2" s="280">
        <v>22459</v>
      </c>
      <c r="K2" s="280">
        <v>22466</v>
      </c>
      <c r="L2" s="280">
        <v>22467</v>
      </c>
      <c r="M2" s="280">
        <v>22473</v>
      </c>
      <c r="N2" s="280">
        <v>22474</v>
      </c>
      <c r="O2" s="280">
        <v>22480</v>
      </c>
      <c r="P2" s="287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</row>
    <row r="3" spans="1:55" ht="18.75">
      <c r="A3" s="128">
        <v>1</v>
      </c>
      <c r="B3" s="288" t="s">
        <v>3166</v>
      </c>
      <c r="C3" s="128">
        <f t="shared" ref="C3:C14" si="0">SUM(E3:BC3)</f>
        <v>1</v>
      </c>
      <c r="D3" s="289">
        <f t="shared" ref="D3:D14" si="1">C3*100/$D$1</f>
        <v>9.0909090909090917</v>
      </c>
      <c r="E3" s="212"/>
      <c r="F3" s="212"/>
      <c r="G3" s="128"/>
      <c r="H3" s="128"/>
      <c r="I3" s="128">
        <v>1</v>
      </c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</row>
    <row r="4" spans="1:55" ht="18.75">
      <c r="A4" s="128">
        <v>2</v>
      </c>
      <c r="B4" s="288" t="s">
        <v>3378</v>
      </c>
      <c r="C4" s="128">
        <f t="shared" si="0"/>
        <v>4</v>
      </c>
      <c r="D4" s="289">
        <f t="shared" si="1"/>
        <v>36.363636363636367</v>
      </c>
      <c r="E4" s="212"/>
      <c r="F4" s="212"/>
      <c r="G4" s="128">
        <v>1</v>
      </c>
      <c r="H4" s="128"/>
      <c r="I4" s="128"/>
      <c r="J4" s="128">
        <v>1</v>
      </c>
      <c r="K4" s="128"/>
      <c r="L4" s="128">
        <v>1</v>
      </c>
      <c r="M4" s="128">
        <v>1</v>
      </c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</row>
    <row r="5" spans="1:55" ht="18.75">
      <c r="A5" s="128">
        <v>3</v>
      </c>
      <c r="B5" s="288" t="s">
        <v>3382</v>
      </c>
      <c r="C5" s="128">
        <f t="shared" si="0"/>
        <v>9</v>
      </c>
      <c r="D5" s="289">
        <f t="shared" si="1"/>
        <v>81.818181818181813</v>
      </c>
      <c r="E5" s="212"/>
      <c r="F5" s="212"/>
      <c r="G5" s="128">
        <v>1</v>
      </c>
      <c r="H5" s="128">
        <v>1</v>
      </c>
      <c r="I5" s="128">
        <v>1</v>
      </c>
      <c r="J5" s="128">
        <v>1</v>
      </c>
      <c r="K5" s="290">
        <v>1</v>
      </c>
      <c r="L5" s="290">
        <v>1</v>
      </c>
      <c r="M5" s="128">
        <v>1</v>
      </c>
      <c r="N5" s="128">
        <v>1</v>
      </c>
      <c r="O5" s="128">
        <v>1</v>
      </c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</row>
    <row r="6" spans="1:55" ht="18.75">
      <c r="A6" s="128">
        <v>4</v>
      </c>
      <c r="B6" s="288" t="s">
        <v>3182</v>
      </c>
      <c r="C6" s="128">
        <f t="shared" si="0"/>
        <v>11</v>
      </c>
      <c r="D6" s="289">
        <f t="shared" si="1"/>
        <v>100</v>
      </c>
      <c r="E6" s="212">
        <v>1</v>
      </c>
      <c r="F6" s="212">
        <v>1</v>
      </c>
      <c r="G6" s="128">
        <v>1</v>
      </c>
      <c r="H6" s="128">
        <v>1</v>
      </c>
      <c r="I6" s="128">
        <v>1</v>
      </c>
      <c r="J6" s="128">
        <v>1</v>
      </c>
      <c r="K6" s="128">
        <v>1</v>
      </c>
      <c r="L6" s="128">
        <v>1</v>
      </c>
      <c r="M6" s="128">
        <v>1</v>
      </c>
      <c r="N6" s="128">
        <v>1</v>
      </c>
      <c r="O6" s="128">
        <v>1</v>
      </c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</row>
    <row r="7" spans="1:55" ht="18.75">
      <c r="A7" s="128">
        <v>5</v>
      </c>
      <c r="B7" s="288" t="s">
        <v>3204</v>
      </c>
      <c r="C7" s="128">
        <f t="shared" si="0"/>
        <v>9</v>
      </c>
      <c r="D7" s="289">
        <f t="shared" si="1"/>
        <v>81.818181818181813</v>
      </c>
      <c r="E7" s="291">
        <v>1</v>
      </c>
      <c r="F7" s="291">
        <v>1</v>
      </c>
      <c r="G7" s="128">
        <v>1</v>
      </c>
      <c r="H7" s="290">
        <v>1</v>
      </c>
      <c r="I7" s="128">
        <v>1</v>
      </c>
      <c r="J7" s="290">
        <v>1</v>
      </c>
      <c r="K7" s="290">
        <v>1</v>
      </c>
      <c r="L7" s="128"/>
      <c r="M7" s="128"/>
      <c r="N7" s="290">
        <v>1</v>
      </c>
      <c r="O7" s="290">
        <v>1</v>
      </c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</row>
    <row r="8" spans="1:55" ht="18.75">
      <c r="A8" s="128">
        <v>6</v>
      </c>
      <c r="B8" s="288" t="s">
        <v>3192</v>
      </c>
      <c r="C8" s="128">
        <f t="shared" si="0"/>
        <v>10</v>
      </c>
      <c r="D8" s="289">
        <f t="shared" si="1"/>
        <v>90.909090909090907</v>
      </c>
      <c r="E8" s="212"/>
      <c r="F8" s="212">
        <v>1</v>
      </c>
      <c r="G8" s="128">
        <v>1</v>
      </c>
      <c r="H8" s="290">
        <v>1</v>
      </c>
      <c r="I8" s="128">
        <v>1</v>
      </c>
      <c r="J8" s="128">
        <v>1</v>
      </c>
      <c r="K8" s="128">
        <v>1</v>
      </c>
      <c r="L8" s="128">
        <v>1</v>
      </c>
      <c r="M8" s="128">
        <v>1</v>
      </c>
      <c r="N8" s="128">
        <v>1</v>
      </c>
      <c r="O8" s="128">
        <v>1</v>
      </c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</row>
    <row r="9" spans="1:55" ht="18.75">
      <c r="A9" s="128">
        <v>7</v>
      </c>
      <c r="B9" s="288" t="s">
        <v>3207</v>
      </c>
      <c r="C9" s="128">
        <f t="shared" si="0"/>
        <v>9</v>
      </c>
      <c r="D9" s="289">
        <f t="shared" si="1"/>
        <v>81.818181818181813</v>
      </c>
      <c r="E9" s="212">
        <v>1</v>
      </c>
      <c r="F9" s="212">
        <v>1</v>
      </c>
      <c r="G9" s="128">
        <v>1</v>
      </c>
      <c r="H9" s="128">
        <v>1</v>
      </c>
      <c r="I9" s="290">
        <v>1</v>
      </c>
      <c r="J9" s="128"/>
      <c r="K9" s="128">
        <v>1</v>
      </c>
      <c r="L9" s="128">
        <v>1</v>
      </c>
      <c r="M9" s="128"/>
      <c r="N9" s="128">
        <v>1</v>
      </c>
      <c r="O9" s="290">
        <v>1</v>
      </c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</row>
    <row r="10" spans="1:55" ht="18.75">
      <c r="A10" s="128">
        <v>8</v>
      </c>
      <c r="B10" s="288" t="s">
        <v>3399</v>
      </c>
      <c r="C10" s="128">
        <f t="shared" si="0"/>
        <v>3</v>
      </c>
      <c r="D10" s="289">
        <f t="shared" si="1"/>
        <v>27.272727272727273</v>
      </c>
      <c r="E10" s="212"/>
      <c r="F10" s="212"/>
      <c r="G10" s="128">
        <v>1</v>
      </c>
      <c r="H10" s="128"/>
      <c r="I10" s="128">
        <v>1</v>
      </c>
      <c r="J10" s="128"/>
      <c r="K10" s="128"/>
      <c r="L10" s="128">
        <v>1</v>
      </c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</row>
    <row r="11" spans="1:55" ht="18.75">
      <c r="A11" s="128">
        <v>9</v>
      </c>
      <c r="B11" s="288" t="s">
        <v>3404</v>
      </c>
      <c r="C11" s="128">
        <f t="shared" si="0"/>
        <v>8</v>
      </c>
      <c r="D11" s="289">
        <f t="shared" si="1"/>
        <v>72.727272727272734</v>
      </c>
      <c r="E11" s="212">
        <v>1</v>
      </c>
      <c r="F11" s="212">
        <v>1</v>
      </c>
      <c r="G11" s="128">
        <v>1</v>
      </c>
      <c r="H11" s="128">
        <v>1</v>
      </c>
      <c r="I11" s="128"/>
      <c r="J11" s="128"/>
      <c r="K11" s="128"/>
      <c r="L11" s="128">
        <v>1</v>
      </c>
      <c r="M11" s="128">
        <v>1</v>
      </c>
      <c r="N11" s="128">
        <v>1</v>
      </c>
      <c r="O11" s="128">
        <v>1</v>
      </c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</row>
    <row r="12" spans="1:55" ht="18.75">
      <c r="A12" s="128">
        <v>10</v>
      </c>
      <c r="B12" s="288" t="s">
        <v>3213</v>
      </c>
      <c r="C12" s="128">
        <f t="shared" si="0"/>
        <v>7</v>
      </c>
      <c r="D12" s="289">
        <f t="shared" si="1"/>
        <v>63.636363636363633</v>
      </c>
      <c r="E12" s="212">
        <v>1</v>
      </c>
      <c r="F12" s="212">
        <v>1</v>
      </c>
      <c r="G12" s="128">
        <v>1</v>
      </c>
      <c r="H12" s="128"/>
      <c r="I12" s="128"/>
      <c r="J12" s="128">
        <v>1</v>
      </c>
      <c r="K12" s="128">
        <v>1</v>
      </c>
      <c r="L12" s="128">
        <v>1</v>
      </c>
      <c r="M12" s="128">
        <v>1</v>
      </c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</row>
    <row r="13" spans="1:55" ht="18.75">
      <c r="A13" s="128">
        <v>11</v>
      </c>
      <c r="B13" s="288" t="s">
        <v>3408</v>
      </c>
      <c r="C13" s="128">
        <f t="shared" si="0"/>
        <v>8</v>
      </c>
      <c r="D13" s="289">
        <f t="shared" si="1"/>
        <v>72.727272727272734</v>
      </c>
      <c r="E13" s="291">
        <v>1</v>
      </c>
      <c r="F13" s="291">
        <v>1</v>
      </c>
      <c r="G13" s="290">
        <v>1</v>
      </c>
      <c r="H13" s="128"/>
      <c r="I13" s="128">
        <v>1</v>
      </c>
      <c r="J13" s="128"/>
      <c r="K13" s="128"/>
      <c r="L13" s="128">
        <v>1</v>
      </c>
      <c r="M13" s="128">
        <v>1</v>
      </c>
      <c r="N13" s="128">
        <v>1</v>
      </c>
      <c r="O13" s="128">
        <v>1</v>
      </c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</row>
    <row r="14" spans="1:55" ht="18.75">
      <c r="A14" s="128">
        <v>12</v>
      </c>
      <c r="B14" s="288" t="s">
        <v>3216</v>
      </c>
      <c r="C14" s="128">
        <f t="shared" si="0"/>
        <v>9</v>
      </c>
      <c r="D14" s="289">
        <f t="shared" si="1"/>
        <v>81.818181818181813</v>
      </c>
      <c r="E14" s="212">
        <v>1</v>
      </c>
      <c r="F14" s="212">
        <v>1</v>
      </c>
      <c r="G14" s="128">
        <v>1</v>
      </c>
      <c r="H14" s="128"/>
      <c r="I14" s="128">
        <v>1</v>
      </c>
      <c r="J14" s="128">
        <v>1</v>
      </c>
      <c r="K14" s="128">
        <v>1</v>
      </c>
      <c r="L14" s="128">
        <v>1</v>
      </c>
      <c r="M14" s="128"/>
      <c r="N14" s="128">
        <v>1</v>
      </c>
      <c r="O14" s="128">
        <v>1</v>
      </c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</row>
    <row r="15" spans="1:55" ht="18.75">
      <c r="A15" s="292"/>
      <c r="B15" s="534" t="s">
        <v>3413</v>
      </c>
      <c r="C15" s="499"/>
      <c r="D15" s="499"/>
      <c r="E15" s="293">
        <f t="shared" ref="E15:AE15" si="2">SUM(E3:E14)</f>
        <v>7</v>
      </c>
      <c r="F15" s="293">
        <f t="shared" si="2"/>
        <v>8</v>
      </c>
      <c r="G15" s="293">
        <f t="shared" si="2"/>
        <v>11</v>
      </c>
      <c r="H15" s="293">
        <f t="shared" si="2"/>
        <v>6</v>
      </c>
      <c r="I15" s="293">
        <f t="shared" si="2"/>
        <v>9</v>
      </c>
      <c r="J15" s="293">
        <f t="shared" si="2"/>
        <v>7</v>
      </c>
      <c r="K15" s="293">
        <f t="shared" si="2"/>
        <v>7</v>
      </c>
      <c r="L15" s="293">
        <f t="shared" si="2"/>
        <v>10</v>
      </c>
      <c r="M15" s="293">
        <f t="shared" si="2"/>
        <v>7</v>
      </c>
      <c r="N15" s="293">
        <f t="shared" si="2"/>
        <v>8</v>
      </c>
      <c r="O15" s="293">
        <f t="shared" si="2"/>
        <v>8</v>
      </c>
      <c r="P15" s="293">
        <f t="shared" si="2"/>
        <v>0</v>
      </c>
      <c r="Q15" s="293">
        <f t="shared" si="2"/>
        <v>0</v>
      </c>
      <c r="R15" s="293">
        <f t="shared" si="2"/>
        <v>0</v>
      </c>
      <c r="S15" s="293">
        <f t="shared" si="2"/>
        <v>0</v>
      </c>
      <c r="T15" s="293">
        <f t="shared" si="2"/>
        <v>0</v>
      </c>
      <c r="U15" s="293">
        <f t="shared" si="2"/>
        <v>0</v>
      </c>
      <c r="V15" s="293">
        <f t="shared" si="2"/>
        <v>0</v>
      </c>
      <c r="W15" s="293">
        <f t="shared" si="2"/>
        <v>0</v>
      </c>
      <c r="X15" s="293">
        <f t="shared" si="2"/>
        <v>0</v>
      </c>
      <c r="Y15" s="293">
        <f t="shared" si="2"/>
        <v>0</v>
      </c>
      <c r="Z15" s="293">
        <f t="shared" si="2"/>
        <v>0</v>
      </c>
      <c r="AA15" s="293">
        <f t="shared" si="2"/>
        <v>0</v>
      </c>
      <c r="AB15" s="293">
        <f t="shared" si="2"/>
        <v>0</v>
      </c>
      <c r="AC15" s="293">
        <f t="shared" si="2"/>
        <v>0</v>
      </c>
      <c r="AD15" s="293">
        <f t="shared" si="2"/>
        <v>0</v>
      </c>
      <c r="AE15" s="293">
        <f t="shared" si="2"/>
        <v>0</v>
      </c>
      <c r="AF15" s="293"/>
      <c r="AG15" s="293">
        <f t="shared" ref="AG15:BC15" si="3">SUM(AG3:AG14)</f>
        <v>0</v>
      </c>
      <c r="AH15" s="293">
        <f t="shared" si="3"/>
        <v>0</v>
      </c>
      <c r="AI15" s="293">
        <f t="shared" si="3"/>
        <v>0</v>
      </c>
      <c r="AJ15" s="293">
        <f t="shared" si="3"/>
        <v>0</v>
      </c>
      <c r="AK15" s="293">
        <f t="shared" si="3"/>
        <v>0</v>
      </c>
      <c r="AL15" s="293">
        <f t="shared" si="3"/>
        <v>0</v>
      </c>
      <c r="AM15" s="293">
        <f t="shared" si="3"/>
        <v>0</v>
      </c>
      <c r="AN15" s="293">
        <f t="shared" si="3"/>
        <v>0</v>
      </c>
      <c r="AO15" s="293">
        <f t="shared" si="3"/>
        <v>0</v>
      </c>
      <c r="AP15" s="293">
        <f t="shared" si="3"/>
        <v>0</v>
      </c>
      <c r="AQ15" s="293">
        <f t="shared" si="3"/>
        <v>0</v>
      </c>
      <c r="AR15" s="293">
        <f t="shared" si="3"/>
        <v>0</v>
      </c>
      <c r="AS15" s="293">
        <f t="shared" si="3"/>
        <v>0</v>
      </c>
      <c r="AT15" s="293">
        <f t="shared" si="3"/>
        <v>0</v>
      </c>
      <c r="AU15" s="293">
        <f t="shared" si="3"/>
        <v>0</v>
      </c>
      <c r="AV15" s="293">
        <f t="shared" si="3"/>
        <v>0</v>
      </c>
      <c r="AW15" s="293">
        <f t="shared" si="3"/>
        <v>0</v>
      </c>
      <c r="AX15" s="293">
        <f t="shared" si="3"/>
        <v>0</v>
      </c>
      <c r="AY15" s="293">
        <f t="shared" si="3"/>
        <v>0</v>
      </c>
      <c r="AZ15" s="293">
        <f t="shared" si="3"/>
        <v>0</v>
      </c>
      <c r="BA15" s="293">
        <f t="shared" si="3"/>
        <v>0</v>
      </c>
      <c r="BB15" s="293">
        <f t="shared" si="3"/>
        <v>0</v>
      </c>
      <c r="BC15" s="293">
        <f t="shared" si="3"/>
        <v>0</v>
      </c>
    </row>
    <row r="16" spans="1:55" ht="18.75">
      <c r="A16" s="292"/>
      <c r="B16" s="499"/>
      <c r="C16" s="499"/>
      <c r="D16" s="499"/>
      <c r="E16" s="294">
        <f t="shared" ref="E16:Y16" si="4">E15*100/13</f>
        <v>53.846153846153847</v>
      </c>
      <c r="F16" s="294">
        <f t="shared" si="4"/>
        <v>61.53846153846154</v>
      </c>
      <c r="G16" s="294">
        <f t="shared" si="4"/>
        <v>84.615384615384613</v>
      </c>
      <c r="H16" s="294">
        <f t="shared" si="4"/>
        <v>46.153846153846153</v>
      </c>
      <c r="I16" s="294">
        <f t="shared" si="4"/>
        <v>69.230769230769226</v>
      </c>
      <c r="J16" s="294">
        <f t="shared" si="4"/>
        <v>53.846153846153847</v>
      </c>
      <c r="K16" s="294">
        <f t="shared" si="4"/>
        <v>53.846153846153847</v>
      </c>
      <c r="L16" s="294">
        <f t="shared" si="4"/>
        <v>76.92307692307692</v>
      </c>
      <c r="M16" s="294">
        <f t="shared" si="4"/>
        <v>53.846153846153847</v>
      </c>
      <c r="N16" s="294">
        <f t="shared" si="4"/>
        <v>61.53846153846154</v>
      </c>
      <c r="O16" s="294">
        <f t="shared" si="4"/>
        <v>61.53846153846154</v>
      </c>
      <c r="P16" s="294">
        <f t="shared" si="4"/>
        <v>0</v>
      </c>
      <c r="Q16" s="294">
        <f t="shared" si="4"/>
        <v>0</v>
      </c>
      <c r="R16" s="294">
        <f t="shared" si="4"/>
        <v>0</v>
      </c>
      <c r="S16" s="294">
        <f t="shared" si="4"/>
        <v>0</v>
      </c>
      <c r="T16" s="294">
        <f t="shared" si="4"/>
        <v>0</v>
      </c>
      <c r="U16" s="294">
        <f t="shared" si="4"/>
        <v>0</v>
      </c>
      <c r="V16" s="294">
        <f t="shared" si="4"/>
        <v>0</v>
      </c>
      <c r="W16" s="294">
        <f t="shared" si="4"/>
        <v>0</v>
      </c>
      <c r="X16" s="294">
        <f t="shared" si="4"/>
        <v>0</v>
      </c>
      <c r="Y16" s="294">
        <f t="shared" si="4"/>
        <v>0</v>
      </c>
      <c r="Z16" s="294">
        <f t="shared" ref="Z16:AE16" si="5">Z15*100/12</f>
        <v>0</v>
      </c>
      <c r="AA16" s="294">
        <f t="shared" si="5"/>
        <v>0</v>
      </c>
      <c r="AB16" s="294">
        <f t="shared" si="5"/>
        <v>0</v>
      </c>
      <c r="AC16" s="294">
        <f t="shared" si="5"/>
        <v>0</v>
      </c>
      <c r="AD16" s="294">
        <f t="shared" si="5"/>
        <v>0</v>
      </c>
      <c r="AE16" s="294">
        <f t="shared" si="5"/>
        <v>0</v>
      </c>
      <c r="AF16" s="294"/>
      <c r="AG16" s="294">
        <f t="shared" ref="AG16:BC16" si="6">AG15*100/12</f>
        <v>0</v>
      </c>
      <c r="AH16" s="294">
        <f t="shared" si="6"/>
        <v>0</v>
      </c>
      <c r="AI16" s="294">
        <f t="shared" si="6"/>
        <v>0</v>
      </c>
      <c r="AJ16" s="294">
        <f t="shared" si="6"/>
        <v>0</v>
      </c>
      <c r="AK16" s="294">
        <f t="shared" si="6"/>
        <v>0</v>
      </c>
      <c r="AL16" s="294">
        <f t="shared" si="6"/>
        <v>0</v>
      </c>
      <c r="AM16" s="294">
        <f t="shared" si="6"/>
        <v>0</v>
      </c>
      <c r="AN16" s="294">
        <f t="shared" si="6"/>
        <v>0</v>
      </c>
      <c r="AO16" s="294">
        <f t="shared" si="6"/>
        <v>0</v>
      </c>
      <c r="AP16" s="294">
        <f t="shared" si="6"/>
        <v>0</v>
      </c>
      <c r="AQ16" s="294">
        <f t="shared" si="6"/>
        <v>0</v>
      </c>
      <c r="AR16" s="294">
        <f t="shared" si="6"/>
        <v>0</v>
      </c>
      <c r="AS16" s="294">
        <f t="shared" si="6"/>
        <v>0</v>
      </c>
      <c r="AT16" s="294">
        <f t="shared" si="6"/>
        <v>0</v>
      </c>
      <c r="AU16" s="294">
        <f t="shared" si="6"/>
        <v>0</v>
      </c>
      <c r="AV16" s="294">
        <f t="shared" si="6"/>
        <v>0</v>
      </c>
      <c r="AW16" s="294">
        <f t="shared" si="6"/>
        <v>0</v>
      </c>
      <c r="AX16" s="294">
        <f t="shared" si="6"/>
        <v>0</v>
      </c>
      <c r="AY16" s="294">
        <f t="shared" si="6"/>
        <v>0</v>
      </c>
      <c r="AZ16" s="294">
        <f t="shared" si="6"/>
        <v>0</v>
      </c>
      <c r="BA16" s="294">
        <f t="shared" si="6"/>
        <v>0</v>
      </c>
      <c r="BB16" s="294">
        <f t="shared" si="6"/>
        <v>0</v>
      </c>
      <c r="BC16" s="294">
        <f t="shared" si="6"/>
        <v>0</v>
      </c>
    </row>
    <row r="17" spans="1:55" ht="37.5">
      <c r="A17" s="277"/>
      <c r="B17" s="277" t="s">
        <v>3254</v>
      </c>
      <c r="C17" s="277" t="s">
        <v>3158</v>
      </c>
      <c r="D17" s="277" t="s">
        <v>3232</v>
      </c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</row>
    <row r="18" spans="1:55" ht="18.75">
      <c r="A18" s="128"/>
      <c r="B18" s="295" t="s">
        <v>3457</v>
      </c>
      <c r="C18" s="128">
        <f t="shared" ref="C18:C30" si="7">COUNTA(E18:BC18)</f>
        <v>2</v>
      </c>
      <c r="D18" s="289">
        <f t="shared" ref="D18:D30" si="8">C18*100/$D$1</f>
        <v>18.181818181818183</v>
      </c>
      <c r="F18" s="128"/>
      <c r="G18" s="128"/>
      <c r="H18" s="128"/>
      <c r="I18" s="128"/>
      <c r="J18" s="128"/>
      <c r="K18" s="128"/>
      <c r="L18" s="128">
        <v>1</v>
      </c>
      <c r="M18" s="128"/>
      <c r="N18" s="128"/>
      <c r="O18" s="128">
        <v>1</v>
      </c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</row>
    <row r="19" spans="1:55" ht="18.75">
      <c r="A19" s="128"/>
      <c r="B19" s="288" t="s">
        <v>3465</v>
      </c>
      <c r="C19" s="128">
        <f t="shared" si="7"/>
        <v>2</v>
      </c>
      <c r="D19" s="289">
        <f t="shared" si="8"/>
        <v>18.181818181818183</v>
      </c>
      <c r="F19" s="128"/>
      <c r="G19" s="128"/>
      <c r="H19" s="128"/>
      <c r="I19" s="128">
        <v>1</v>
      </c>
      <c r="J19" s="128"/>
      <c r="K19" s="128"/>
      <c r="L19" s="128"/>
      <c r="M19" s="128"/>
      <c r="N19" s="128"/>
      <c r="O19" s="128">
        <v>1</v>
      </c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</row>
    <row r="20" spans="1:55" ht="18.75">
      <c r="A20" s="128"/>
      <c r="B20" s="288" t="s">
        <v>3468</v>
      </c>
      <c r="C20" s="128">
        <f t="shared" si="7"/>
        <v>1</v>
      </c>
      <c r="D20" s="289">
        <f t="shared" si="8"/>
        <v>9.0909090909090917</v>
      </c>
      <c r="E20" s="128"/>
      <c r="F20" s="128">
        <v>1</v>
      </c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</row>
    <row r="21" spans="1:55" ht="18.75">
      <c r="A21" s="128"/>
      <c r="B21" s="288" t="s">
        <v>3471</v>
      </c>
      <c r="C21" s="128">
        <f t="shared" si="7"/>
        <v>2</v>
      </c>
      <c r="D21" s="289">
        <f t="shared" si="8"/>
        <v>18.181818181818183</v>
      </c>
      <c r="E21" s="128"/>
      <c r="F21" s="128">
        <v>1</v>
      </c>
      <c r="G21" s="128"/>
      <c r="H21" s="128"/>
      <c r="I21" s="128"/>
      <c r="J21" s="128"/>
      <c r="K21" s="128"/>
      <c r="L21" s="128"/>
      <c r="M21" s="128"/>
      <c r="N21" s="128">
        <v>1</v>
      </c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</row>
    <row r="22" spans="1:55" ht="18.75">
      <c r="A22" s="128"/>
      <c r="B22" s="288" t="s">
        <v>3474</v>
      </c>
      <c r="C22" s="128">
        <f t="shared" si="7"/>
        <v>1</v>
      </c>
      <c r="D22" s="289">
        <f t="shared" si="8"/>
        <v>9.0909090909090917</v>
      </c>
      <c r="E22" s="128"/>
      <c r="F22" s="128"/>
      <c r="G22" s="128"/>
      <c r="H22" s="128"/>
      <c r="I22" s="128">
        <v>1</v>
      </c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</row>
    <row r="23" spans="1:55" ht="18.75">
      <c r="A23" s="128"/>
      <c r="B23" s="288" t="s">
        <v>3476</v>
      </c>
      <c r="C23" s="128">
        <f t="shared" si="7"/>
        <v>1</v>
      </c>
      <c r="D23" s="289">
        <f t="shared" si="8"/>
        <v>9.0909090909090917</v>
      </c>
      <c r="E23" s="128"/>
      <c r="F23" s="128"/>
      <c r="G23" s="128"/>
      <c r="H23" s="128"/>
      <c r="I23" s="128">
        <v>1</v>
      </c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</row>
    <row r="24" spans="1:55" ht="18.75">
      <c r="A24" s="128"/>
      <c r="B24" s="288" t="s">
        <v>3479</v>
      </c>
      <c r="C24" s="128">
        <f t="shared" si="7"/>
        <v>1</v>
      </c>
      <c r="D24" s="289">
        <f t="shared" si="8"/>
        <v>9.0909090909090917</v>
      </c>
      <c r="E24" s="128"/>
      <c r="F24" s="128"/>
      <c r="G24" s="128"/>
      <c r="H24" s="128"/>
      <c r="I24" s="128"/>
      <c r="J24" s="128">
        <v>1</v>
      </c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</row>
    <row r="25" spans="1:55" ht="18.75">
      <c r="A25" s="128"/>
      <c r="B25" s="288" t="s">
        <v>3484</v>
      </c>
      <c r="C25" s="128">
        <f t="shared" si="7"/>
        <v>1</v>
      </c>
      <c r="D25" s="289">
        <f t="shared" si="8"/>
        <v>9.0909090909090917</v>
      </c>
      <c r="E25" s="128"/>
      <c r="F25" s="128"/>
      <c r="G25" s="128"/>
      <c r="H25" s="128"/>
      <c r="I25" s="128"/>
      <c r="J25" s="128">
        <v>1</v>
      </c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</row>
    <row r="26" spans="1:55" ht="18.75">
      <c r="A26" s="128"/>
      <c r="B26" s="288" t="s">
        <v>3487</v>
      </c>
      <c r="C26" s="128">
        <f t="shared" si="7"/>
        <v>1</v>
      </c>
      <c r="D26" s="289">
        <f t="shared" si="8"/>
        <v>9.0909090909090917</v>
      </c>
      <c r="E26" s="128"/>
      <c r="F26" s="128"/>
      <c r="G26" s="128"/>
      <c r="H26" s="128"/>
      <c r="I26" s="128"/>
      <c r="J26" s="128"/>
      <c r="K26" s="128"/>
      <c r="L26" s="128">
        <v>1</v>
      </c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</row>
    <row r="27" spans="1:55" ht="18.75">
      <c r="A27" s="128"/>
      <c r="B27" s="288"/>
      <c r="C27" s="128">
        <f t="shared" si="7"/>
        <v>0</v>
      </c>
      <c r="D27" s="289">
        <f t="shared" si="8"/>
        <v>0</v>
      </c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</row>
    <row r="28" spans="1:55" ht="18.75">
      <c r="A28" s="128"/>
      <c r="B28" s="288"/>
      <c r="C28" s="128">
        <f t="shared" si="7"/>
        <v>0</v>
      </c>
      <c r="D28" s="289">
        <f t="shared" si="8"/>
        <v>0</v>
      </c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</row>
    <row r="29" spans="1:55" ht="18.75">
      <c r="A29" s="128"/>
      <c r="B29" s="288"/>
      <c r="C29" s="128">
        <f t="shared" si="7"/>
        <v>0</v>
      </c>
      <c r="D29" s="289">
        <f t="shared" si="8"/>
        <v>0</v>
      </c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</row>
    <row r="30" spans="1:55" ht="18.75">
      <c r="A30" s="128"/>
      <c r="B30" s="288"/>
      <c r="C30" s="128">
        <f t="shared" si="7"/>
        <v>0</v>
      </c>
      <c r="D30" s="289">
        <f t="shared" si="8"/>
        <v>0</v>
      </c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</row>
    <row r="31" spans="1:55" ht="18.75">
      <c r="A31" s="293"/>
      <c r="B31" s="293"/>
      <c r="C31" s="296"/>
      <c r="D31" s="296"/>
      <c r="E31" s="293">
        <f t="shared" ref="E31:BC31" si="9">SUM(E18:E30)</f>
        <v>0</v>
      </c>
      <c r="F31" s="293">
        <f t="shared" si="9"/>
        <v>2</v>
      </c>
      <c r="G31" s="293">
        <f t="shared" si="9"/>
        <v>0</v>
      </c>
      <c r="H31" s="293">
        <f t="shared" si="9"/>
        <v>0</v>
      </c>
      <c r="I31" s="293">
        <f t="shared" si="9"/>
        <v>3</v>
      </c>
      <c r="J31" s="293">
        <f t="shared" si="9"/>
        <v>2</v>
      </c>
      <c r="K31" s="293">
        <f t="shared" si="9"/>
        <v>0</v>
      </c>
      <c r="L31" s="293">
        <f t="shared" si="9"/>
        <v>2</v>
      </c>
      <c r="M31" s="293">
        <f t="shared" si="9"/>
        <v>0</v>
      </c>
      <c r="N31" s="293">
        <f t="shared" si="9"/>
        <v>1</v>
      </c>
      <c r="O31" s="293">
        <f t="shared" si="9"/>
        <v>2</v>
      </c>
      <c r="P31" s="293">
        <f t="shared" si="9"/>
        <v>0</v>
      </c>
      <c r="Q31" s="293">
        <f t="shared" si="9"/>
        <v>0</v>
      </c>
      <c r="R31" s="293">
        <f t="shared" si="9"/>
        <v>0</v>
      </c>
      <c r="S31" s="293">
        <f t="shared" si="9"/>
        <v>0</v>
      </c>
      <c r="T31" s="293">
        <f t="shared" si="9"/>
        <v>0</v>
      </c>
      <c r="U31" s="293">
        <f t="shared" si="9"/>
        <v>0</v>
      </c>
      <c r="V31" s="293">
        <f t="shared" si="9"/>
        <v>0</v>
      </c>
      <c r="W31" s="293">
        <f t="shared" si="9"/>
        <v>0</v>
      </c>
      <c r="X31" s="293">
        <f t="shared" si="9"/>
        <v>0</v>
      </c>
      <c r="Y31" s="293">
        <f t="shared" si="9"/>
        <v>0</v>
      </c>
      <c r="Z31" s="293">
        <f t="shared" si="9"/>
        <v>0</v>
      </c>
      <c r="AA31" s="293">
        <f t="shared" si="9"/>
        <v>0</v>
      </c>
      <c r="AB31" s="293">
        <f t="shared" si="9"/>
        <v>0</v>
      </c>
      <c r="AC31" s="293">
        <f t="shared" si="9"/>
        <v>0</v>
      </c>
      <c r="AD31" s="293">
        <f t="shared" si="9"/>
        <v>0</v>
      </c>
      <c r="AE31" s="293">
        <f t="shared" si="9"/>
        <v>0</v>
      </c>
      <c r="AF31" s="293">
        <f t="shared" si="9"/>
        <v>0</v>
      </c>
      <c r="AG31" s="293">
        <f t="shared" si="9"/>
        <v>0</v>
      </c>
      <c r="AH31" s="293">
        <f t="shared" si="9"/>
        <v>0</v>
      </c>
      <c r="AI31" s="293">
        <f t="shared" si="9"/>
        <v>0</v>
      </c>
      <c r="AJ31" s="293">
        <f t="shared" si="9"/>
        <v>0</v>
      </c>
      <c r="AK31" s="293">
        <f t="shared" si="9"/>
        <v>0</v>
      </c>
      <c r="AL31" s="293">
        <f t="shared" si="9"/>
        <v>0</v>
      </c>
      <c r="AM31" s="293">
        <f t="shared" si="9"/>
        <v>0</v>
      </c>
      <c r="AN31" s="293">
        <f t="shared" si="9"/>
        <v>0</v>
      </c>
      <c r="AO31" s="293">
        <f t="shared" si="9"/>
        <v>0</v>
      </c>
      <c r="AP31" s="293">
        <f t="shared" si="9"/>
        <v>0</v>
      </c>
      <c r="AQ31" s="293">
        <f t="shared" si="9"/>
        <v>0</v>
      </c>
      <c r="AR31" s="293">
        <f t="shared" si="9"/>
        <v>0</v>
      </c>
      <c r="AS31" s="293">
        <f t="shared" si="9"/>
        <v>0</v>
      </c>
      <c r="AT31" s="293">
        <f t="shared" si="9"/>
        <v>0</v>
      </c>
      <c r="AU31" s="293">
        <f t="shared" si="9"/>
        <v>0</v>
      </c>
      <c r="AV31" s="293">
        <f t="shared" si="9"/>
        <v>0</v>
      </c>
      <c r="AW31" s="293">
        <f t="shared" si="9"/>
        <v>0</v>
      </c>
      <c r="AX31" s="293">
        <f t="shared" si="9"/>
        <v>0</v>
      </c>
      <c r="AY31" s="293">
        <f t="shared" si="9"/>
        <v>0</v>
      </c>
      <c r="AZ31" s="293">
        <f t="shared" si="9"/>
        <v>0</v>
      </c>
      <c r="BA31" s="293">
        <f t="shared" si="9"/>
        <v>0</v>
      </c>
      <c r="BB31" s="293">
        <f t="shared" si="9"/>
        <v>0</v>
      </c>
      <c r="BC31" s="293">
        <f t="shared" si="9"/>
        <v>0</v>
      </c>
    </row>
  </sheetData>
  <mergeCells count="2">
    <mergeCell ref="B1:C1"/>
    <mergeCell ref="B15:D16"/>
  </mergeCells>
  <conditionalFormatting sqref="C3:C14">
    <cfRule type="expression" dxfId="3" priority="1">
      <formula>maxn(C3:C14)</formula>
    </cfRule>
  </conditionalFormatting>
  <conditionalFormatting sqref="Y13">
    <cfRule type="notContainsBlanks" dxfId="2" priority="2">
      <formula>LEN(TRIM(Y13))&gt;0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portrait" cellComments="atEnd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FF00"/>
    <outlinePr summaryBelow="0" summaryRight="0"/>
    <pageSetUpPr fitToPage="1"/>
  </sheetPr>
  <dimension ref="A1:BC32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ColWidth="14.42578125" defaultRowHeight="15.75" customHeight="1"/>
  <cols>
    <col min="1" max="1" width="5.7109375" customWidth="1"/>
    <col min="2" max="2" width="27.42578125" customWidth="1"/>
    <col min="3" max="3" width="17.7109375" customWidth="1"/>
    <col min="4" max="4" width="12.42578125" customWidth="1"/>
    <col min="5" max="46" width="9.140625" customWidth="1"/>
    <col min="47" max="47" width="9.7109375" customWidth="1"/>
    <col min="48" max="49" width="9.140625" customWidth="1"/>
    <col min="50" max="55" width="9.7109375" customWidth="1"/>
  </cols>
  <sheetData>
    <row r="1" spans="1:55" ht="18.75">
      <c r="A1" s="284"/>
      <c r="B1" s="533" t="s">
        <v>3141</v>
      </c>
      <c r="C1" s="499"/>
      <c r="D1" s="285">
        <f>COUNTA(E2:BB2)</f>
        <v>8</v>
      </c>
      <c r="E1" s="285" t="s">
        <v>3150</v>
      </c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</row>
    <row r="2" spans="1:55" ht="37.5">
      <c r="A2" s="277" t="s">
        <v>3367</v>
      </c>
      <c r="B2" s="277" t="s">
        <v>3156</v>
      </c>
      <c r="C2" s="277" t="s">
        <v>3158</v>
      </c>
      <c r="D2" s="277" t="s">
        <v>3159</v>
      </c>
      <c r="E2" s="287">
        <v>22571</v>
      </c>
      <c r="F2" s="287">
        <v>22572</v>
      </c>
      <c r="G2" s="287">
        <v>22584</v>
      </c>
      <c r="H2" s="287">
        <v>22590</v>
      </c>
      <c r="I2" s="280">
        <v>22601</v>
      </c>
      <c r="J2" s="280">
        <v>22604</v>
      </c>
      <c r="K2" s="280">
        <v>22608</v>
      </c>
      <c r="L2" s="280">
        <v>22615</v>
      </c>
      <c r="M2" s="280"/>
      <c r="N2" s="280"/>
      <c r="O2" s="280"/>
      <c r="P2" s="287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</row>
    <row r="3" spans="1:55" ht="18.75">
      <c r="A3" s="128">
        <v>1</v>
      </c>
      <c r="B3" s="288" t="s">
        <v>3166</v>
      </c>
      <c r="C3" s="128">
        <f t="shared" ref="C3:C15" si="0">SUM(E3:BC3)</f>
        <v>8</v>
      </c>
      <c r="D3" s="289">
        <f t="shared" ref="D3:D15" si="1">C3*100/$D$1</f>
        <v>100</v>
      </c>
      <c r="E3" s="212">
        <v>1</v>
      </c>
      <c r="F3" s="212">
        <v>1</v>
      </c>
      <c r="G3" s="128">
        <v>1</v>
      </c>
      <c r="H3" s="128">
        <v>1</v>
      </c>
      <c r="I3" s="128">
        <v>1</v>
      </c>
      <c r="J3" s="128">
        <v>1</v>
      </c>
      <c r="K3" s="128">
        <v>1</v>
      </c>
      <c r="L3" s="128">
        <v>1</v>
      </c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</row>
    <row r="4" spans="1:55" ht="18.75">
      <c r="A4" s="128">
        <v>2</v>
      </c>
      <c r="B4" s="288" t="s">
        <v>3577</v>
      </c>
      <c r="C4" s="128">
        <f t="shared" si="0"/>
        <v>8</v>
      </c>
      <c r="D4" s="289">
        <f t="shared" si="1"/>
        <v>100</v>
      </c>
      <c r="E4" s="297">
        <v>1</v>
      </c>
      <c r="F4" s="212">
        <v>1</v>
      </c>
      <c r="G4" s="128">
        <v>1</v>
      </c>
      <c r="H4" s="128">
        <v>1</v>
      </c>
      <c r="I4" s="297">
        <v>1</v>
      </c>
      <c r="J4" s="128">
        <v>1</v>
      </c>
      <c r="K4" s="297">
        <v>1</v>
      </c>
      <c r="L4" s="128">
        <v>1</v>
      </c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</row>
    <row r="5" spans="1:55" ht="18.75">
      <c r="A5" s="128">
        <v>3</v>
      </c>
      <c r="B5" s="288" t="s">
        <v>3583</v>
      </c>
      <c r="C5" s="128">
        <f t="shared" si="0"/>
        <v>3</v>
      </c>
      <c r="D5" s="289">
        <f t="shared" si="1"/>
        <v>37.5</v>
      </c>
      <c r="E5" s="297">
        <v>1</v>
      </c>
      <c r="F5" s="297">
        <v>1</v>
      </c>
      <c r="G5" s="128"/>
      <c r="H5" s="297">
        <v>1</v>
      </c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</row>
    <row r="6" spans="1:55" ht="18.75">
      <c r="A6" s="128">
        <v>4</v>
      </c>
      <c r="B6" s="288" t="s">
        <v>3588</v>
      </c>
      <c r="C6" s="128">
        <f t="shared" si="0"/>
        <v>5</v>
      </c>
      <c r="D6" s="289">
        <f t="shared" si="1"/>
        <v>62.5</v>
      </c>
      <c r="E6" s="212"/>
      <c r="F6" s="297">
        <v>1</v>
      </c>
      <c r="G6" s="297">
        <v>1</v>
      </c>
      <c r="H6" s="297">
        <v>1</v>
      </c>
      <c r="I6" s="128"/>
      <c r="J6" s="297">
        <v>1</v>
      </c>
      <c r="K6" s="128"/>
      <c r="L6" s="297">
        <v>1</v>
      </c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</row>
    <row r="7" spans="1:55" ht="18.75">
      <c r="A7" s="128">
        <v>5</v>
      </c>
      <c r="B7" s="288" t="s">
        <v>3187</v>
      </c>
      <c r="C7" s="128">
        <f t="shared" si="0"/>
        <v>7</v>
      </c>
      <c r="D7" s="289">
        <f t="shared" si="1"/>
        <v>87.5</v>
      </c>
      <c r="E7" s="212">
        <v>1</v>
      </c>
      <c r="F7" s="212">
        <v>1</v>
      </c>
      <c r="G7" s="128">
        <v>1</v>
      </c>
      <c r="H7" s="128">
        <v>1</v>
      </c>
      <c r="I7" s="128">
        <v>1</v>
      </c>
      <c r="K7" s="128">
        <v>1</v>
      </c>
      <c r="L7" s="128">
        <v>1</v>
      </c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</row>
    <row r="8" spans="1:55" ht="18.75">
      <c r="A8" s="128">
        <v>6</v>
      </c>
      <c r="B8" s="288" t="s">
        <v>3182</v>
      </c>
      <c r="C8" s="128">
        <f t="shared" si="0"/>
        <v>1</v>
      </c>
      <c r="D8" s="289">
        <f t="shared" si="1"/>
        <v>12.5</v>
      </c>
      <c r="E8" s="297">
        <v>1</v>
      </c>
      <c r="F8" s="212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</row>
    <row r="9" spans="1:55" ht="18.75">
      <c r="A9" s="128">
        <v>7</v>
      </c>
      <c r="B9" s="288" t="s">
        <v>3196</v>
      </c>
      <c r="C9" s="128">
        <f t="shared" si="0"/>
        <v>5</v>
      </c>
      <c r="D9" s="289">
        <f t="shared" si="1"/>
        <v>62.5</v>
      </c>
      <c r="E9" s="212">
        <v>1</v>
      </c>
      <c r="F9" s="212">
        <v>1</v>
      </c>
      <c r="G9" s="128">
        <v>1</v>
      </c>
      <c r="H9" s="128">
        <v>1</v>
      </c>
      <c r="I9" s="128"/>
      <c r="J9" s="128"/>
      <c r="K9" s="128">
        <v>1</v>
      </c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</row>
    <row r="10" spans="1:55" ht="18.75">
      <c r="A10" s="128">
        <v>8</v>
      </c>
      <c r="B10" s="288" t="s">
        <v>3207</v>
      </c>
      <c r="C10" s="128">
        <f t="shared" si="0"/>
        <v>7</v>
      </c>
      <c r="D10" s="289">
        <f t="shared" si="1"/>
        <v>87.5</v>
      </c>
      <c r="E10" s="212">
        <v>1</v>
      </c>
      <c r="F10" s="212">
        <v>1</v>
      </c>
      <c r="G10" s="128"/>
      <c r="H10" s="128">
        <v>1</v>
      </c>
      <c r="I10" s="128">
        <v>1</v>
      </c>
      <c r="J10" s="128">
        <v>1</v>
      </c>
      <c r="K10" s="128">
        <v>1</v>
      </c>
      <c r="L10" s="128">
        <v>1</v>
      </c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</row>
    <row r="11" spans="1:55" ht="18.75">
      <c r="A11" s="128">
        <v>9</v>
      </c>
      <c r="B11" s="288" t="s">
        <v>3399</v>
      </c>
      <c r="C11" s="128">
        <f t="shared" si="0"/>
        <v>1</v>
      </c>
      <c r="D11" s="289">
        <f t="shared" si="1"/>
        <v>12.5</v>
      </c>
      <c r="E11" s="212"/>
      <c r="F11" s="212">
        <v>1</v>
      </c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</row>
    <row r="12" spans="1:55" ht="18.75">
      <c r="A12" s="128">
        <v>10</v>
      </c>
      <c r="B12" s="288" t="s">
        <v>3606</v>
      </c>
      <c r="C12" s="128">
        <f t="shared" si="0"/>
        <v>5</v>
      </c>
      <c r="D12" s="289">
        <f t="shared" si="1"/>
        <v>62.5</v>
      </c>
      <c r="E12" s="212"/>
      <c r="F12" s="212"/>
      <c r="G12" s="128"/>
      <c r="H12" s="128">
        <v>1</v>
      </c>
      <c r="I12" s="128">
        <v>1</v>
      </c>
      <c r="J12" s="128">
        <v>1</v>
      </c>
      <c r="K12" s="128">
        <v>1</v>
      </c>
      <c r="L12" s="128">
        <v>1</v>
      </c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</row>
    <row r="13" spans="1:55" ht="18.75">
      <c r="A13" s="128">
        <v>11</v>
      </c>
      <c r="B13" s="288" t="s">
        <v>3611</v>
      </c>
      <c r="C13" s="128">
        <f t="shared" si="0"/>
        <v>7</v>
      </c>
      <c r="D13" s="289">
        <f t="shared" si="1"/>
        <v>87.5</v>
      </c>
      <c r="E13" s="212">
        <v>1</v>
      </c>
      <c r="F13" s="212">
        <v>1</v>
      </c>
      <c r="G13" s="128">
        <v>1</v>
      </c>
      <c r="H13" s="128">
        <v>1</v>
      </c>
      <c r="I13" s="128">
        <v>1</v>
      </c>
      <c r="J13" s="128"/>
      <c r="K13" s="128">
        <v>1</v>
      </c>
      <c r="L13" s="128">
        <v>1</v>
      </c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</row>
    <row r="14" spans="1:55" ht="18.75">
      <c r="A14" s="128">
        <v>12</v>
      </c>
      <c r="B14" s="288" t="s">
        <v>3213</v>
      </c>
      <c r="C14" s="128">
        <f t="shared" si="0"/>
        <v>4</v>
      </c>
      <c r="D14" s="289">
        <f t="shared" si="1"/>
        <v>50</v>
      </c>
      <c r="E14" s="212"/>
      <c r="F14" s="212">
        <v>1</v>
      </c>
      <c r="G14" s="128"/>
      <c r="H14" s="128">
        <v>1</v>
      </c>
      <c r="I14" s="128">
        <v>1</v>
      </c>
      <c r="J14" s="128"/>
      <c r="K14" s="128">
        <v>1</v>
      </c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</row>
    <row r="15" spans="1:55" ht="18.75">
      <c r="A15" s="128">
        <v>13</v>
      </c>
      <c r="B15" s="288" t="s">
        <v>3216</v>
      </c>
      <c r="C15" s="128">
        <f t="shared" si="0"/>
        <v>7</v>
      </c>
      <c r="D15" s="289">
        <f t="shared" si="1"/>
        <v>87.5</v>
      </c>
      <c r="E15" s="212">
        <v>1</v>
      </c>
      <c r="F15" s="212">
        <v>1</v>
      </c>
      <c r="G15" s="128">
        <v>1</v>
      </c>
      <c r="H15" s="128">
        <v>1</v>
      </c>
      <c r="I15" s="297">
        <v>1</v>
      </c>
      <c r="J15" s="128"/>
      <c r="K15" s="128">
        <v>1</v>
      </c>
      <c r="L15" s="128">
        <v>1</v>
      </c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</row>
    <row r="16" spans="1:55" ht="18.75">
      <c r="A16" s="292"/>
      <c r="B16" s="534" t="s">
        <v>3413</v>
      </c>
      <c r="C16" s="499"/>
      <c r="D16" s="499"/>
      <c r="E16" s="293">
        <f t="shared" ref="E16:AE16" si="2">SUM(E3:E15)</f>
        <v>9</v>
      </c>
      <c r="F16" s="293">
        <f t="shared" si="2"/>
        <v>11</v>
      </c>
      <c r="G16" s="293">
        <f t="shared" si="2"/>
        <v>7</v>
      </c>
      <c r="H16" s="293">
        <f t="shared" si="2"/>
        <v>11</v>
      </c>
      <c r="I16" s="293">
        <f t="shared" si="2"/>
        <v>8</v>
      </c>
      <c r="J16" s="293">
        <f t="shared" si="2"/>
        <v>5</v>
      </c>
      <c r="K16" s="293">
        <f t="shared" si="2"/>
        <v>9</v>
      </c>
      <c r="L16" s="293">
        <f t="shared" si="2"/>
        <v>8</v>
      </c>
      <c r="M16" s="293">
        <f t="shared" si="2"/>
        <v>0</v>
      </c>
      <c r="N16" s="293">
        <f t="shared" si="2"/>
        <v>0</v>
      </c>
      <c r="O16" s="293">
        <f t="shared" si="2"/>
        <v>0</v>
      </c>
      <c r="P16" s="293">
        <f t="shared" si="2"/>
        <v>0</v>
      </c>
      <c r="Q16" s="293">
        <f t="shared" si="2"/>
        <v>0</v>
      </c>
      <c r="R16" s="293">
        <f t="shared" si="2"/>
        <v>0</v>
      </c>
      <c r="S16" s="293">
        <f t="shared" si="2"/>
        <v>0</v>
      </c>
      <c r="T16" s="293">
        <f t="shared" si="2"/>
        <v>0</v>
      </c>
      <c r="U16" s="293">
        <f t="shared" si="2"/>
        <v>0</v>
      </c>
      <c r="V16" s="293">
        <f t="shared" si="2"/>
        <v>0</v>
      </c>
      <c r="W16" s="293">
        <f t="shared" si="2"/>
        <v>0</v>
      </c>
      <c r="X16" s="293">
        <f t="shared" si="2"/>
        <v>0</v>
      </c>
      <c r="Y16" s="293">
        <f t="shared" si="2"/>
        <v>0</v>
      </c>
      <c r="Z16" s="293">
        <f t="shared" si="2"/>
        <v>0</v>
      </c>
      <c r="AA16" s="293">
        <f t="shared" si="2"/>
        <v>0</v>
      </c>
      <c r="AB16" s="293">
        <f t="shared" si="2"/>
        <v>0</v>
      </c>
      <c r="AC16" s="293">
        <f t="shared" si="2"/>
        <v>0</v>
      </c>
      <c r="AD16" s="293">
        <f t="shared" si="2"/>
        <v>0</v>
      </c>
      <c r="AE16" s="293">
        <f t="shared" si="2"/>
        <v>0</v>
      </c>
      <c r="AF16" s="293"/>
      <c r="AG16" s="293">
        <f t="shared" ref="AG16:BC16" si="3">SUM(AG3:AG15)</f>
        <v>0</v>
      </c>
      <c r="AH16" s="293">
        <f t="shared" si="3"/>
        <v>0</v>
      </c>
      <c r="AI16" s="293">
        <f t="shared" si="3"/>
        <v>0</v>
      </c>
      <c r="AJ16" s="293">
        <f t="shared" si="3"/>
        <v>0</v>
      </c>
      <c r="AK16" s="293">
        <f t="shared" si="3"/>
        <v>0</v>
      </c>
      <c r="AL16" s="293">
        <f t="shared" si="3"/>
        <v>0</v>
      </c>
      <c r="AM16" s="293">
        <f t="shared" si="3"/>
        <v>0</v>
      </c>
      <c r="AN16" s="293">
        <f t="shared" si="3"/>
        <v>0</v>
      </c>
      <c r="AO16" s="293">
        <f t="shared" si="3"/>
        <v>0</v>
      </c>
      <c r="AP16" s="293">
        <f t="shared" si="3"/>
        <v>0</v>
      </c>
      <c r="AQ16" s="293">
        <f t="shared" si="3"/>
        <v>0</v>
      </c>
      <c r="AR16" s="293">
        <f t="shared" si="3"/>
        <v>0</v>
      </c>
      <c r="AS16" s="293">
        <f t="shared" si="3"/>
        <v>0</v>
      </c>
      <c r="AT16" s="293">
        <f t="shared" si="3"/>
        <v>0</v>
      </c>
      <c r="AU16" s="293">
        <f t="shared" si="3"/>
        <v>0</v>
      </c>
      <c r="AV16" s="293">
        <f t="shared" si="3"/>
        <v>0</v>
      </c>
      <c r="AW16" s="293">
        <f t="shared" si="3"/>
        <v>0</v>
      </c>
      <c r="AX16" s="293">
        <f t="shared" si="3"/>
        <v>0</v>
      </c>
      <c r="AY16" s="293">
        <f t="shared" si="3"/>
        <v>0</v>
      </c>
      <c r="AZ16" s="293">
        <f t="shared" si="3"/>
        <v>0</v>
      </c>
      <c r="BA16" s="293">
        <f t="shared" si="3"/>
        <v>0</v>
      </c>
      <c r="BB16" s="293">
        <f t="shared" si="3"/>
        <v>0</v>
      </c>
      <c r="BC16" s="293">
        <f t="shared" si="3"/>
        <v>0</v>
      </c>
    </row>
    <row r="17" spans="1:55" ht="18.75">
      <c r="A17" s="292"/>
      <c r="B17" s="499"/>
      <c r="C17" s="499"/>
      <c r="D17" s="499"/>
      <c r="E17" s="294">
        <f t="shared" ref="E17:Y17" si="4">E16*100/13</f>
        <v>69.230769230769226</v>
      </c>
      <c r="F17" s="294">
        <f t="shared" si="4"/>
        <v>84.615384615384613</v>
      </c>
      <c r="G17" s="294">
        <f t="shared" si="4"/>
        <v>53.846153846153847</v>
      </c>
      <c r="H17" s="294">
        <f t="shared" si="4"/>
        <v>84.615384615384613</v>
      </c>
      <c r="I17" s="294">
        <f t="shared" si="4"/>
        <v>61.53846153846154</v>
      </c>
      <c r="J17" s="294">
        <f t="shared" si="4"/>
        <v>38.46153846153846</v>
      </c>
      <c r="K17" s="294">
        <f t="shared" si="4"/>
        <v>69.230769230769226</v>
      </c>
      <c r="L17" s="294">
        <f t="shared" si="4"/>
        <v>61.53846153846154</v>
      </c>
      <c r="M17" s="294">
        <f t="shared" si="4"/>
        <v>0</v>
      </c>
      <c r="N17" s="294">
        <f t="shared" si="4"/>
        <v>0</v>
      </c>
      <c r="O17" s="294">
        <f t="shared" si="4"/>
        <v>0</v>
      </c>
      <c r="P17" s="294">
        <f t="shared" si="4"/>
        <v>0</v>
      </c>
      <c r="Q17" s="294">
        <f t="shared" si="4"/>
        <v>0</v>
      </c>
      <c r="R17" s="294">
        <f t="shared" si="4"/>
        <v>0</v>
      </c>
      <c r="S17" s="294">
        <f t="shared" si="4"/>
        <v>0</v>
      </c>
      <c r="T17" s="294">
        <f t="shared" si="4"/>
        <v>0</v>
      </c>
      <c r="U17" s="294">
        <f t="shared" si="4"/>
        <v>0</v>
      </c>
      <c r="V17" s="294">
        <f t="shared" si="4"/>
        <v>0</v>
      </c>
      <c r="W17" s="294">
        <f t="shared" si="4"/>
        <v>0</v>
      </c>
      <c r="X17" s="294">
        <f t="shared" si="4"/>
        <v>0</v>
      </c>
      <c r="Y17" s="294">
        <f t="shared" si="4"/>
        <v>0</v>
      </c>
      <c r="Z17" s="294">
        <f t="shared" ref="Z17:AE17" si="5">Z16*100/12</f>
        <v>0</v>
      </c>
      <c r="AA17" s="294">
        <f t="shared" si="5"/>
        <v>0</v>
      </c>
      <c r="AB17" s="294">
        <f t="shared" si="5"/>
        <v>0</v>
      </c>
      <c r="AC17" s="294">
        <f t="shared" si="5"/>
        <v>0</v>
      </c>
      <c r="AD17" s="294">
        <f t="shared" si="5"/>
        <v>0</v>
      </c>
      <c r="AE17" s="294">
        <f t="shared" si="5"/>
        <v>0</v>
      </c>
      <c r="AF17" s="294"/>
      <c r="AG17" s="294">
        <f t="shared" ref="AG17:BC17" si="6">AG16*100/12</f>
        <v>0</v>
      </c>
      <c r="AH17" s="294">
        <f t="shared" si="6"/>
        <v>0</v>
      </c>
      <c r="AI17" s="294">
        <f t="shared" si="6"/>
        <v>0</v>
      </c>
      <c r="AJ17" s="294">
        <f t="shared" si="6"/>
        <v>0</v>
      </c>
      <c r="AK17" s="294">
        <f t="shared" si="6"/>
        <v>0</v>
      </c>
      <c r="AL17" s="294">
        <f t="shared" si="6"/>
        <v>0</v>
      </c>
      <c r="AM17" s="294">
        <f t="shared" si="6"/>
        <v>0</v>
      </c>
      <c r="AN17" s="294">
        <f t="shared" si="6"/>
        <v>0</v>
      </c>
      <c r="AO17" s="294">
        <f t="shared" si="6"/>
        <v>0</v>
      </c>
      <c r="AP17" s="294">
        <f t="shared" si="6"/>
        <v>0</v>
      </c>
      <c r="AQ17" s="294">
        <f t="shared" si="6"/>
        <v>0</v>
      </c>
      <c r="AR17" s="294">
        <f t="shared" si="6"/>
        <v>0</v>
      </c>
      <c r="AS17" s="294">
        <f t="shared" si="6"/>
        <v>0</v>
      </c>
      <c r="AT17" s="294">
        <f t="shared" si="6"/>
        <v>0</v>
      </c>
      <c r="AU17" s="294">
        <f t="shared" si="6"/>
        <v>0</v>
      </c>
      <c r="AV17" s="294">
        <f t="shared" si="6"/>
        <v>0</v>
      </c>
      <c r="AW17" s="294">
        <f t="shared" si="6"/>
        <v>0</v>
      </c>
      <c r="AX17" s="294">
        <f t="shared" si="6"/>
        <v>0</v>
      </c>
      <c r="AY17" s="294">
        <f t="shared" si="6"/>
        <v>0</v>
      </c>
      <c r="AZ17" s="294">
        <f t="shared" si="6"/>
        <v>0</v>
      </c>
      <c r="BA17" s="294">
        <f t="shared" si="6"/>
        <v>0</v>
      </c>
      <c r="BB17" s="294">
        <f t="shared" si="6"/>
        <v>0</v>
      </c>
      <c r="BC17" s="294">
        <f t="shared" si="6"/>
        <v>0</v>
      </c>
    </row>
    <row r="18" spans="1:55" ht="37.5">
      <c r="A18" s="277"/>
      <c r="B18" s="277" t="s">
        <v>3254</v>
      </c>
      <c r="C18" s="277" t="s">
        <v>3158</v>
      </c>
      <c r="D18" s="277" t="s">
        <v>3232</v>
      </c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</row>
    <row r="19" spans="1:55" ht="18.75">
      <c r="A19" s="128"/>
      <c r="B19" s="295" t="s">
        <v>3661</v>
      </c>
      <c r="C19" s="128">
        <f t="shared" ref="C19:C31" si="7">COUNTA(E19:BC19)</f>
        <v>1</v>
      </c>
      <c r="D19" s="289">
        <f t="shared" ref="D19:D31" si="8">C19*100/$D$1</f>
        <v>12.5</v>
      </c>
      <c r="E19" s="212"/>
      <c r="F19" s="128">
        <v>1</v>
      </c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</row>
    <row r="20" spans="1:55" ht="18.75">
      <c r="A20" s="128"/>
      <c r="B20" s="288" t="s">
        <v>3668</v>
      </c>
      <c r="C20" s="128">
        <f t="shared" si="7"/>
        <v>3</v>
      </c>
      <c r="D20" s="289">
        <f t="shared" si="8"/>
        <v>37.5</v>
      </c>
      <c r="E20" s="310">
        <v>1</v>
      </c>
      <c r="F20" s="310">
        <v>1</v>
      </c>
      <c r="G20" s="128"/>
      <c r="H20" s="310">
        <v>1</v>
      </c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</row>
    <row r="21" spans="1:55" ht="18.75">
      <c r="A21" s="128"/>
      <c r="B21" s="288" t="s">
        <v>3674</v>
      </c>
      <c r="C21" s="128">
        <f t="shared" si="7"/>
        <v>3</v>
      </c>
      <c r="D21" s="289">
        <f t="shared" si="8"/>
        <v>37.5</v>
      </c>
      <c r="E21" s="128"/>
      <c r="F21" s="310">
        <v>1</v>
      </c>
      <c r="G21" s="310">
        <v>1</v>
      </c>
      <c r="H21" s="128"/>
      <c r="I21" s="128"/>
      <c r="J21" s="128"/>
      <c r="K21" s="310">
        <v>1</v>
      </c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</row>
    <row r="22" spans="1:55" ht="18.75">
      <c r="A22" s="128"/>
      <c r="B22" s="288" t="s">
        <v>3678</v>
      </c>
      <c r="C22" s="128">
        <f t="shared" si="7"/>
        <v>4</v>
      </c>
      <c r="D22" s="289">
        <f t="shared" si="8"/>
        <v>50</v>
      </c>
      <c r="E22" s="128"/>
      <c r="F22" s="310">
        <v>1</v>
      </c>
      <c r="G22" s="310">
        <v>1</v>
      </c>
      <c r="H22" s="310">
        <v>1</v>
      </c>
      <c r="I22" s="310">
        <v>1</v>
      </c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</row>
    <row r="23" spans="1:55" ht="18.75">
      <c r="A23" s="128"/>
      <c r="B23" s="288" t="s">
        <v>3683</v>
      </c>
      <c r="C23" s="128">
        <f t="shared" si="7"/>
        <v>1</v>
      </c>
      <c r="D23" s="289">
        <f t="shared" si="8"/>
        <v>12.5</v>
      </c>
      <c r="E23" s="128"/>
      <c r="F23" s="128"/>
      <c r="G23" s="128">
        <v>1</v>
      </c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</row>
    <row r="24" spans="1:55" ht="18.75">
      <c r="A24" s="128"/>
      <c r="B24" s="288" t="s">
        <v>3688</v>
      </c>
      <c r="C24" s="128">
        <f t="shared" si="7"/>
        <v>3</v>
      </c>
      <c r="D24" s="289">
        <f t="shared" si="8"/>
        <v>37.5</v>
      </c>
      <c r="E24" s="128"/>
      <c r="F24" s="128"/>
      <c r="G24" s="310">
        <v>1</v>
      </c>
      <c r="H24" s="128"/>
      <c r="I24" s="310">
        <v>1</v>
      </c>
      <c r="J24" s="128"/>
      <c r="K24" s="128"/>
      <c r="L24" s="310">
        <v>1</v>
      </c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</row>
    <row r="25" spans="1:55" ht="18.75">
      <c r="A25" s="128"/>
      <c r="B25" s="288" t="s">
        <v>3698</v>
      </c>
      <c r="C25" s="128">
        <f t="shared" si="7"/>
        <v>1</v>
      </c>
      <c r="D25" s="289">
        <f t="shared" si="8"/>
        <v>12.5</v>
      </c>
      <c r="E25" s="128"/>
      <c r="F25" s="128"/>
      <c r="G25" s="128"/>
      <c r="H25" s="128"/>
      <c r="I25" s="310">
        <v>1</v>
      </c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</row>
    <row r="26" spans="1:55" ht="18.75" hidden="1">
      <c r="A26" s="128"/>
      <c r="B26" s="288"/>
      <c r="C26" s="128">
        <f t="shared" si="7"/>
        <v>0</v>
      </c>
      <c r="D26" s="289">
        <f t="shared" si="8"/>
        <v>0</v>
      </c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</row>
    <row r="27" spans="1:55" ht="18.75" hidden="1">
      <c r="A27" s="128"/>
      <c r="B27" s="288"/>
      <c r="C27" s="128">
        <f t="shared" si="7"/>
        <v>0</v>
      </c>
      <c r="D27" s="289">
        <f t="shared" si="8"/>
        <v>0</v>
      </c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</row>
    <row r="28" spans="1:55" ht="18.75" hidden="1">
      <c r="A28" s="128"/>
      <c r="B28" s="288"/>
      <c r="C28" s="128">
        <f t="shared" si="7"/>
        <v>0</v>
      </c>
      <c r="D28" s="289">
        <f t="shared" si="8"/>
        <v>0</v>
      </c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</row>
    <row r="29" spans="1:55" ht="18.75" hidden="1">
      <c r="A29" s="128"/>
      <c r="B29" s="288"/>
      <c r="C29" s="128">
        <f t="shared" si="7"/>
        <v>0</v>
      </c>
      <c r="D29" s="289">
        <f t="shared" si="8"/>
        <v>0</v>
      </c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</row>
    <row r="30" spans="1:55" ht="18.75" hidden="1">
      <c r="A30" s="128"/>
      <c r="B30" s="288"/>
      <c r="C30" s="128">
        <f t="shared" si="7"/>
        <v>0</v>
      </c>
      <c r="D30" s="289">
        <f t="shared" si="8"/>
        <v>0</v>
      </c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</row>
    <row r="31" spans="1:55" ht="18.75" hidden="1">
      <c r="A31" s="128"/>
      <c r="B31" s="288"/>
      <c r="C31" s="128">
        <f t="shared" si="7"/>
        <v>0</v>
      </c>
      <c r="D31" s="289">
        <f t="shared" si="8"/>
        <v>0</v>
      </c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</row>
    <row r="32" spans="1:55" ht="18.75">
      <c r="A32" s="293"/>
      <c r="B32" s="535" t="s">
        <v>3723</v>
      </c>
      <c r="C32" s="499"/>
      <c r="D32" s="499"/>
      <c r="E32" s="293">
        <f t="shared" ref="E32:BC32" si="9">SUM(E19:E31)</f>
        <v>1</v>
      </c>
      <c r="F32" s="293">
        <f t="shared" si="9"/>
        <v>4</v>
      </c>
      <c r="G32" s="293">
        <f t="shared" si="9"/>
        <v>4</v>
      </c>
      <c r="H32" s="293">
        <f t="shared" si="9"/>
        <v>2</v>
      </c>
      <c r="I32" s="293">
        <f t="shared" si="9"/>
        <v>3</v>
      </c>
      <c r="J32" s="293">
        <f t="shared" si="9"/>
        <v>0</v>
      </c>
      <c r="K32" s="293">
        <f t="shared" si="9"/>
        <v>1</v>
      </c>
      <c r="L32" s="293">
        <f t="shared" si="9"/>
        <v>1</v>
      </c>
      <c r="M32" s="293">
        <f t="shared" si="9"/>
        <v>0</v>
      </c>
      <c r="N32" s="293">
        <f t="shared" si="9"/>
        <v>0</v>
      </c>
      <c r="O32" s="293">
        <f t="shared" si="9"/>
        <v>0</v>
      </c>
      <c r="P32" s="293">
        <f t="shared" si="9"/>
        <v>0</v>
      </c>
      <c r="Q32" s="293">
        <f t="shared" si="9"/>
        <v>0</v>
      </c>
      <c r="R32" s="293">
        <f t="shared" si="9"/>
        <v>0</v>
      </c>
      <c r="S32" s="293">
        <f t="shared" si="9"/>
        <v>0</v>
      </c>
      <c r="T32" s="293">
        <f t="shared" si="9"/>
        <v>0</v>
      </c>
      <c r="U32" s="293">
        <f t="shared" si="9"/>
        <v>0</v>
      </c>
      <c r="V32" s="293">
        <f t="shared" si="9"/>
        <v>0</v>
      </c>
      <c r="W32" s="293">
        <f t="shared" si="9"/>
        <v>0</v>
      </c>
      <c r="X32" s="293">
        <f t="shared" si="9"/>
        <v>0</v>
      </c>
      <c r="Y32" s="293">
        <f t="shared" si="9"/>
        <v>0</v>
      </c>
      <c r="Z32" s="293">
        <f t="shared" si="9"/>
        <v>0</v>
      </c>
      <c r="AA32" s="293">
        <f t="shared" si="9"/>
        <v>0</v>
      </c>
      <c r="AB32" s="293">
        <f t="shared" si="9"/>
        <v>0</v>
      </c>
      <c r="AC32" s="293">
        <f t="shared" si="9"/>
        <v>0</v>
      </c>
      <c r="AD32" s="293">
        <f t="shared" si="9"/>
        <v>0</v>
      </c>
      <c r="AE32" s="293">
        <f t="shared" si="9"/>
        <v>0</v>
      </c>
      <c r="AF32" s="293">
        <f t="shared" si="9"/>
        <v>0</v>
      </c>
      <c r="AG32" s="293">
        <f t="shared" si="9"/>
        <v>0</v>
      </c>
      <c r="AH32" s="293">
        <f t="shared" si="9"/>
        <v>0</v>
      </c>
      <c r="AI32" s="293">
        <f t="shared" si="9"/>
        <v>0</v>
      </c>
      <c r="AJ32" s="293">
        <f t="shared" si="9"/>
        <v>0</v>
      </c>
      <c r="AK32" s="293">
        <f t="shared" si="9"/>
        <v>0</v>
      </c>
      <c r="AL32" s="293">
        <f t="shared" si="9"/>
        <v>0</v>
      </c>
      <c r="AM32" s="293">
        <f t="shared" si="9"/>
        <v>0</v>
      </c>
      <c r="AN32" s="293">
        <f t="shared" si="9"/>
        <v>0</v>
      </c>
      <c r="AO32" s="293">
        <f t="shared" si="9"/>
        <v>0</v>
      </c>
      <c r="AP32" s="293">
        <f t="shared" si="9"/>
        <v>0</v>
      </c>
      <c r="AQ32" s="293">
        <f t="shared" si="9"/>
        <v>0</v>
      </c>
      <c r="AR32" s="293">
        <f t="shared" si="9"/>
        <v>0</v>
      </c>
      <c r="AS32" s="293">
        <f t="shared" si="9"/>
        <v>0</v>
      </c>
      <c r="AT32" s="293">
        <f t="shared" si="9"/>
        <v>0</v>
      </c>
      <c r="AU32" s="293">
        <f t="shared" si="9"/>
        <v>0</v>
      </c>
      <c r="AV32" s="293">
        <f t="shared" si="9"/>
        <v>0</v>
      </c>
      <c r="AW32" s="293">
        <f t="shared" si="9"/>
        <v>0</v>
      </c>
      <c r="AX32" s="293">
        <f t="shared" si="9"/>
        <v>0</v>
      </c>
      <c r="AY32" s="293">
        <f t="shared" si="9"/>
        <v>0</v>
      </c>
      <c r="AZ32" s="293">
        <f t="shared" si="9"/>
        <v>0</v>
      </c>
      <c r="BA32" s="293">
        <f t="shared" si="9"/>
        <v>0</v>
      </c>
      <c r="BB32" s="293">
        <f t="shared" si="9"/>
        <v>0</v>
      </c>
      <c r="BC32" s="293">
        <f t="shared" si="9"/>
        <v>0</v>
      </c>
    </row>
  </sheetData>
  <mergeCells count="3">
    <mergeCell ref="B1:C1"/>
    <mergeCell ref="B16:D17"/>
    <mergeCell ref="B32:D32"/>
  </mergeCells>
  <conditionalFormatting sqref="C3:C15">
    <cfRule type="expression" dxfId="1" priority="1">
      <formula>maxn(C3:C15)</formula>
    </cfRule>
  </conditionalFormatting>
  <conditionalFormatting sqref="Y14">
    <cfRule type="notContainsBlanks" dxfId="0" priority="2">
      <formula>LEN(TRIM(Y14))&gt;0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portrait" cellComments="atEnd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outlinePr summaryBelow="0" summaryRight="0"/>
  </sheetPr>
  <dimension ref="A1:E513"/>
  <sheetViews>
    <sheetView workbookViewId="0"/>
  </sheetViews>
  <sheetFormatPr defaultColWidth="14.42578125" defaultRowHeight="15.75" customHeight="1"/>
  <cols>
    <col min="1" max="1" width="120.28515625" customWidth="1"/>
  </cols>
  <sheetData>
    <row r="1" spans="1:5" ht="21">
      <c r="A1" s="298" t="s">
        <v>3595</v>
      </c>
      <c r="B1" s="298" t="s">
        <v>3600</v>
      </c>
      <c r="C1" s="298" t="s">
        <v>3601</v>
      </c>
      <c r="D1" s="298" t="s">
        <v>11</v>
      </c>
      <c r="E1" s="299" t="s">
        <v>3602</v>
      </c>
    </row>
    <row r="2" spans="1:5" ht="21">
      <c r="A2" s="300"/>
      <c r="B2" s="301"/>
      <c r="C2" s="300"/>
      <c r="D2" s="300"/>
      <c r="E2" s="302"/>
    </row>
    <row r="3" spans="1:5" ht="21">
      <c r="A3" s="303"/>
      <c r="B3" s="304"/>
      <c r="C3" s="303"/>
      <c r="D3" s="303"/>
      <c r="E3" s="305"/>
    </row>
    <row r="4" spans="1:5" ht="21">
      <c r="A4" s="303"/>
      <c r="B4" s="304"/>
      <c r="C4" s="303"/>
      <c r="D4" s="303"/>
      <c r="E4" s="305"/>
    </row>
    <row r="5" spans="1:5" ht="21">
      <c r="A5" s="303"/>
      <c r="B5" s="304"/>
      <c r="C5" s="303"/>
      <c r="D5" s="303"/>
      <c r="E5" s="305"/>
    </row>
    <row r="6" spans="1:5" ht="21">
      <c r="A6" s="303" t="s">
        <v>1390</v>
      </c>
      <c r="B6" s="304" t="s">
        <v>53</v>
      </c>
      <c r="C6" s="306">
        <v>8500</v>
      </c>
      <c r="D6" s="303"/>
      <c r="E6" s="305">
        <v>25</v>
      </c>
    </row>
    <row r="7" spans="1:5" ht="21">
      <c r="A7" s="303" t="s">
        <v>1391</v>
      </c>
      <c r="B7" s="304" t="s">
        <v>53</v>
      </c>
      <c r="C7" s="306">
        <v>12000</v>
      </c>
      <c r="D7" s="303"/>
      <c r="E7" s="305">
        <v>25</v>
      </c>
    </row>
    <row r="8" spans="1:5" ht="21">
      <c r="A8" s="303" t="s">
        <v>1392</v>
      </c>
      <c r="B8" s="304" t="s">
        <v>53</v>
      </c>
      <c r="C8" s="306">
        <v>17000</v>
      </c>
      <c r="D8" s="303"/>
      <c r="E8" s="305">
        <v>25</v>
      </c>
    </row>
    <row r="9" spans="1:5" ht="21">
      <c r="A9" s="303"/>
      <c r="B9" s="304"/>
      <c r="C9" s="303"/>
      <c r="D9" s="303"/>
      <c r="E9" s="305"/>
    </row>
    <row r="10" spans="1:5" ht="21">
      <c r="A10" s="303"/>
      <c r="B10" s="304"/>
      <c r="C10" s="303"/>
      <c r="D10" s="303"/>
      <c r="E10" s="305"/>
    </row>
    <row r="11" spans="1:5" ht="21">
      <c r="A11" s="303" t="s">
        <v>1346</v>
      </c>
      <c r="B11" s="304" t="s">
        <v>78</v>
      </c>
      <c r="C11" s="306">
        <v>52000</v>
      </c>
      <c r="D11" s="303"/>
      <c r="E11" s="305">
        <v>25</v>
      </c>
    </row>
    <row r="12" spans="1:5" ht="21">
      <c r="A12" s="303" t="s">
        <v>1345</v>
      </c>
      <c r="B12" s="304" t="s">
        <v>78</v>
      </c>
      <c r="C12" s="306">
        <v>55000</v>
      </c>
      <c r="D12" s="303"/>
      <c r="E12" s="305">
        <v>25</v>
      </c>
    </row>
    <row r="13" spans="1:5" ht="21">
      <c r="A13" s="303"/>
      <c r="B13" s="304"/>
      <c r="C13" s="303"/>
      <c r="D13" s="303"/>
      <c r="E13" s="305"/>
    </row>
    <row r="14" spans="1:5" ht="21">
      <c r="A14" s="303"/>
      <c r="B14" s="304"/>
      <c r="C14" s="303"/>
      <c r="D14" s="303"/>
      <c r="E14" s="305"/>
    </row>
    <row r="15" spans="1:5" ht="21">
      <c r="A15" s="303" t="s">
        <v>1347</v>
      </c>
      <c r="B15" s="304" t="s">
        <v>78</v>
      </c>
      <c r="C15" s="306">
        <v>18000</v>
      </c>
      <c r="D15" s="303"/>
      <c r="E15" s="305">
        <v>25</v>
      </c>
    </row>
    <row r="16" spans="1:5" ht="21">
      <c r="A16" s="303" t="s">
        <v>1348</v>
      </c>
      <c r="B16" s="304" t="s">
        <v>78</v>
      </c>
      <c r="C16" s="306">
        <v>19000</v>
      </c>
      <c r="D16" s="303"/>
      <c r="E16" s="305">
        <v>25</v>
      </c>
    </row>
    <row r="17" spans="1:5" ht="21">
      <c r="A17" s="303" t="s">
        <v>1351</v>
      </c>
      <c r="B17" s="304" t="s">
        <v>78</v>
      </c>
      <c r="C17" s="306">
        <v>17800</v>
      </c>
      <c r="D17" s="303"/>
      <c r="E17" s="305">
        <v>25</v>
      </c>
    </row>
    <row r="18" spans="1:5" ht="21">
      <c r="A18" s="303"/>
      <c r="B18" s="304"/>
      <c r="C18" s="303"/>
      <c r="D18" s="303"/>
      <c r="E18" s="305"/>
    </row>
    <row r="19" spans="1:5" ht="21">
      <c r="A19" s="303" t="s">
        <v>141</v>
      </c>
      <c r="B19" s="304" t="s">
        <v>78</v>
      </c>
      <c r="C19" s="306">
        <v>21000</v>
      </c>
      <c r="D19" s="303"/>
      <c r="E19" s="305">
        <v>25</v>
      </c>
    </row>
    <row r="20" spans="1:5" ht="21">
      <c r="A20" s="303"/>
      <c r="B20" s="304"/>
      <c r="C20" s="303"/>
      <c r="D20" s="303"/>
      <c r="E20" s="305"/>
    </row>
    <row r="21" spans="1:5" ht="21">
      <c r="A21" s="303"/>
      <c r="B21" s="304"/>
      <c r="C21" s="303"/>
      <c r="D21" s="303"/>
      <c r="E21" s="305"/>
    </row>
    <row r="22" spans="1:5" ht="21">
      <c r="A22" s="303" t="s">
        <v>1370</v>
      </c>
      <c r="B22" s="304" t="s">
        <v>28</v>
      </c>
      <c r="C22" s="306">
        <v>4000000</v>
      </c>
      <c r="D22" s="303"/>
      <c r="E22" s="305" t="s">
        <v>3624</v>
      </c>
    </row>
    <row r="23" spans="1:5" ht="21">
      <c r="A23" s="303" t="s">
        <v>1373</v>
      </c>
      <c r="B23" s="304" t="s">
        <v>28</v>
      </c>
      <c r="C23" s="306">
        <v>4500000</v>
      </c>
      <c r="D23" s="303"/>
      <c r="E23" s="305" t="s">
        <v>3624</v>
      </c>
    </row>
    <row r="24" spans="1:5" ht="21">
      <c r="A24" s="303" t="s">
        <v>1374</v>
      </c>
      <c r="B24" s="304" t="s">
        <v>28</v>
      </c>
      <c r="C24" s="306">
        <v>6800000</v>
      </c>
      <c r="D24" s="303"/>
      <c r="E24" s="305" t="s">
        <v>3624</v>
      </c>
    </row>
    <row r="25" spans="1:5" ht="21">
      <c r="A25" s="303"/>
      <c r="B25" s="304"/>
      <c r="C25" s="303"/>
      <c r="D25" s="303"/>
      <c r="E25" s="305"/>
    </row>
    <row r="26" spans="1:5" ht="21">
      <c r="A26" s="303" t="s">
        <v>1379</v>
      </c>
      <c r="B26" s="304" t="s">
        <v>28</v>
      </c>
      <c r="C26" s="306">
        <v>2800000</v>
      </c>
      <c r="D26" s="303"/>
      <c r="E26" s="305" t="s">
        <v>3627</v>
      </c>
    </row>
    <row r="27" spans="1:5" ht="21">
      <c r="A27" s="303" t="s">
        <v>1382</v>
      </c>
      <c r="B27" s="304" t="s">
        <v>28</v>
      </c>
      <c r="C27" s="306">
        <v>3300000</v>
      </c>
      <c r="D27" s="303"/>
      <c r="E27" s="305" t="s">
        <v>3627</v>
      </c>
    </row>
    <row r="28" spans="1:5" ht="21">
      <c r="A28" s="303"/>
      <c r="B28" s="304"/>
      <c r="C28" s="303"/>
      <c r="D28" s="303"/>
      <c r="E28" s="305"/>
    </row>
    <row r="29" spans="1:5" ht="21">
      <c r="A29" s="303" t="s">
        <v>1375</v>
      </c>
      <c r="B29" s="304" t="s">
        <v>28</v>
      </c>
      <c r="C29" s="306">
        <v>3800000</v>
      </c>
      <c r="D29" s="303"/>
      <c r="E29" s="305" t="s">
        <v>3628</v>
      </c>
    </row>
    <row r="30" spans="1:5" ht="21">
      <c r="A30" s="303" t="s">
        <v>360</v>
      </c>
      <c r="B30" s="304" t="s">
        <v>28</v>
      </c>
      <c r="C30" s="306">
        <v>4500000</v>
      </c>
      <c r="D30" s="303"/>
      <c r="E30" s="305" t="s">
        <v>3630</v>
      </c>
    </row>
    <row r="31" spans="1:5" ht="21">
      <c r="A31" s="303"/>
      <c r="B31" s="304"/>
      <c r="C31" s="303"/>
      <c r="D31" s="303"/>
      <c r="E31" s="305"/>
    </row>
    <row r="32" spans="1:5" ht="21">
      <c r="A32" s="303" t="s">
        <v>1369</v>
      </c>
      <c r="B32" s="304" t="s">
        <v>28</v>
      </c>
      <c r="C32" s="306">
        <v>7500000</v>
      </c>
      <c r="D32" s="303"/>
      <c r="E32" s="305" t="s">
        <v>3632</v>
      </c>
    </row>
    <row r="33" spans="1:5" ht="21">
      <c r="A33" s="303"/>
      <c r="B33" s="304"/>
      <c r="C33" s="303"/>
      <c r="D33" s="303"/>
      <c r="E33" s="305"/>
    </row>
    <row r="34" spans="1:5" ht="21">
      <c r="A34" s="303" t="s">
        <v>1383</v>
      </c>
      <c r="B34" s="304" t="s">
        <v>28</v>
      </c>
      <c r="C34" s="306">
        <v>3000000</v>
      </c>
      <c r="D34" s="303"/>
      <c r="E34" s="305" t="s">
        <v>3633</v>
      </c>
    </row>
    <row r="35" spans="1:5" ht="21">
      <c r="A35" s="303"/>
      <c r="B35" s="304"/>
      <c r="C35" s="303"/>
      <c r="D35" s="303"/>
      <c r="E35" s="305"/>
    </row>
    <row r="36" spans="1:5" ht="21">
      <c r="A36" s="303" t="s">
        <v>328</v>
      </c>
      <c r="B36" s="304" t="s">
        <v>78</v>
      </c>
      <c r="C36" s="306">
        <v>66000</v>
      </c>
      <c r="D36" s="303"/>
      <c r="E36" s="305" t="s">
        <v>3635</v>
      </c>
    </row>
    <row r="37" spans="1:5" ht="21">
      <c r="A37" s="303"/>
      <c r="B37" s="304"/>
      <c r="C37" s="303"/>
      <c r="D37" s="303"/>
      <c r="E37" s="305"/>
    </row>
    <row r="38" spans="1:5" ht="15.75" customHeight="1">
      <c r="A38" s="307"/>
      <c r="B38" s="308"/>
      <c r="C38" s="307"/>
      <c r="D38" s="307"/>
      <c r="E38" s="309"/>
    </row>
    <row r="39" spans="1:5" ht="21">
      <c r="A39" s="303" t="s">
        <v>1387</v>
      </c>
      <c r="B39" s="304" t="s">
        <v>28</v>
      </c>
      <c r="C39" s="306">
        <v>398000</v>
      </c>
      <c r="D39" s="303"/>
      <c r="E39" s="305">
        <v>36</v>
      </c>
    </row>
    <row r="40" spans="1:5" ht="21">
      <c r="A40" s="303" t="s">
        <v>3638</v>
      </c>
      <c r="B40" s="304" t="s">
        <v>28</v>
      </c>
      <c r="C40" s="306">
        <v>590000</v>
      </c>
      <c r="D40" s="303"/>
      <c r="E40" s="305">
        <v>36</v>
      </c>
    </row>
    <row r="41" spans="1:5" ht="21">
      <c r="A41" s="303" t="s">
        <v>3639</v>
      </c>
      <c r="B41" s="304" t="s">
        <v>28</v>
      </c>
      <c r="C41" s="306">
        <v>1100000</v>
      </c>
      <c r="D41" s="303"/>
      <c r="E41" s="305">
        <v>36</v>
      </c>
    </row>
    <row r="42" spans="1:5" ht="21">
      <c r="A42" s="303"/>
      <c r="B42" s="304"/>
      <c r="C42" s="303"/>
      <c r="D42" s="303"/>
      <c r="E42" s="305"/>
    </row>
    <row r="43" spans="1:5" ht="21">
      <c r="A43" s="303" t="s">
        <v>534</v>
      </c>
      <c r="B43" s="304" t="s">
        <v>28</v>
      </c>
      <c r="C43" s="306">
        <v>60000</v>
      </c>
      <c r="D43" s="303"/>
      <c r="E43" s="305">
        <v>37</v>
      </c>
    </row>
    <row r="44" spans="1:5" ht="21">
      <c r="A44" s="303" t="s">
        <v>532</v>
      </c>
      <c r="B44" s="304" t="s">
        <v>28</v>
      </c>
      <c r="C44" s="306">
        <v>66000</v>
      </c>
      <c r="D44" s="303"/>
      <c r="E44" s="305">
        <v>37</v>
      </c>
    </row>
    <row r="45" spans="1:5" ht="21">
      <c r="A45" s="303"/>
      <c r="B45" s="304"/>
      <c r="C45" s="303"/>
      <c r="D45" s="303"/>
      <c r="E45" s="305"/>
    </row>
    <row r="46" spans="1:5" ht="21">
      <c r="A46" s="303" t="s">
        <v>241</v>
      </c>
      <c r="B46" s="304" t="s">
        <v>78</v>
      </c>
      <c r="C46" s="306">
        <v>13000</v>
      </c>
      <c r="D46" s="303"/>
      <c r="E46" s="305">
        <v>37</v>
      </c>
    </row>
    <row r="47" spans="1:5" ht="21">
      <c r="A47" s="303" t="s">
        <v>245</v>
      </c>
      <c r="B47" s="304" t="s">
        <v>78</v>
      </c>
      <c r="C47" s="306">
        <v>17000</v>
      </c>
      <c r="D47" s="303"/>
      <c r="E47" s="305">
        <v>37</v>
      </c>
    </row>
    <row r="48" spans="1:5" ht="21">
      <c r="A48" s="303" t="s">
        <v>247</v>
      </c>
      <c r="B48" s="304" t="s">
        <v>78</v>
      </c>
      <c r="C48" s="306">
        <v>25000</v>
      </c>
      <c r="D48" s="303"/>
      <c r="E48" s="305">
        <v>37</v>
      </c>
    </row>
    <row r="49" spans="1:5" ht="21">
      <c r="A49" s="303"/>
      <c r="B49" s="304"/>
      <c r="C49" s="303"/>
      <c r="D49" s="303"/>
      <c r="E49" s="305"/>
    </row>
    <row r="50" spans="1:5" ht="21">
      <c r="A50" s="303" t="s">
        <v>251</v>
      </c>
      <c r="B50" s="304" t="s">
        <v>78</v>
      </c>
      <c r="C50" s="306">
        <v>59000</v>
      </c>
      <c r="D50" s="303"/>
      <c r="E50" s="305">
        <v>37</v>
      </c>
    </row>
    <row r="51" spans="1:5" ht="21">
      <c r="A51" s="303"/>
      <c r="B51" s="304"/>
      <c r="C51" s="303"/>
      <c r="D51" s="303"/>
      <c r="E51" s="305"/>
    </row>
    <row r="52" spans="1:5" ht="21">
      <c r="A52" s="303"/>
      <c r="B52" s="304"/>
      <c r="C52" s="303"/>
      <c r="D52" s="303"/>
      <c r="E52" s="305"/>
    </row>
    <row r="53" spans="1:5" ht="21">
      <c r="A53" s="303"/>
      <c r="B53" s="304"/>
      <c r="C53" s="303"/>
      <c r="D53" s="303"/>
      <c r="E53" s="305"/>
    </row>
    <row r="54" spans="1:5" ht="21">
      <c r="A54" s="303" t="s">
        <v>104</v>
      </c>
      <c r="B54" s="304" t="s">
        <v>78</v>
      </c>
      <c r="C54" s="306">
        <v>19800</v>
      </c>
      <c r="D54" s="303"/>
      <c r="E54" s="305">
        <v>37</v>
      </c>
    </row>
    <row r="55" spans="1:5" ht="21">
      <c r="A55" s="303" t="s">
        <v>108</v>
      </c>
      <c r="B55" s="304" t="s">
        <v>78</v>
      </c>
      <c r="C55" s="306">
        <v>22000</v>
      </c>
      <c r="D55" s="303"/>
      <c r="E55" s="305">
        <v>37</v>
      </c>
    </row>
    <row r="56" spans="1:5" ht="21">
      <c r="A56" s="303"/>
      <c r="B56" s="304"/>
      <c r="C56" s="303"/>
      <c r="D56" s="303"/>
      <c r="E56" s="305"/>
    </row>
    <row r="57" spans="1:5" ht="21">
      <c r="A57" s="303" t="s">
        <v>98</v>
      </c>
      <c r="B57" s="304" t="s">
        <v>78</v>
      </c>
      <c r="C57" s="306">
        <v>11400</v>
      </c>
      <c r="D57" s="303"/>
      <c r="E57" s="305">
        <v>38</v>
      </c>
    </row>
    <row r="58" spans="1:5" ht="21">
      <c r="A58" s="303" t="s">
        <v>102</v>
      </c>
      <c r="B58" s="304" t="s">
        <v>78</v>
      </c>
      <c r="C58" s="306">
        <v>15000</v>
      </c>
      <c r="D58" s="303"/>
      <c r="E58" s="305">
        <v>38</v>
      </c>
    </row>
    <row r="59" spans="1:5" ht="21">
      <c r="A59" s="303" t="s">
        <v>92</v>
      </c>
      <c r="B59" s="304" t="s">
        <v>78</v>
      </c>
      <c r="C59" s="306">
        <v>20000</v>
      </c>
      <c r="D59" s="303"/>
      <c r="E59" s="305">
        <v>38</v>
      </c>
    </row>
    <row r="60" spans="1:5" ht="21">
      <c r="A60" s="303" t="s">
        <v>94</v>
      </c>
      <c r="B60" s="304" t="s">
        <v>78</v>
      </c>
      <c r="C60" s="306">
        <v>24000</v>
      </c>
      <c r="D60" s="303"/>
      <c r="E60" s="305">
        <v>38</v>
      </c>
    </row>
    <row r="61" spans="1:5" ht="21">
      <c r="A61" s="303"/>
      <c r="B61" s="304"/>
      <c r="C61" s="303"/>
      <c r="D61" s="303"/>
      <c r="E61" s="305"/>
    </row>
    <row r="62" spans="1:5" ht="21">
      <c r="A62" s="303"/>
      <c r="B62" s="304"/>
      <c r="C62" s="303"/>
      <c r="D62" s="303"/>
      <c r="E62" s="305"/>
    </row>
    <row r="63" spans="1:5" ht="21">
      <c r="A63" s="303"/>
      <c r="B63" s="304"/>
      <c r="C63" s="303"/>
      <c r="D63" s="303"/>
      <c r="E63" s="305"/>
    </row>
    <row r="64" spans="1:5" ht="21">
      <c r="A64" s="303"/>
      <c r="B64" s="304"/>
      <c r="C64" s="303"/>
      <c r="D64" s="303"/>
      <c r="E64" s="305"/>
    </row>
    <row r="65" spans="1:5" ht="21">
      <c r="A65" s="303"/>
      <c r="B65" s="304"/>
      <c r="C65" s="303"/>
      <c r="D65" s="303"/>
      <c r="E65" s="305"/>
    </row>
    <row r="66" spans="1:5" ht="21">
      <c r="A66" s="303" t="s">
        <v>1358</v>
      </c>
      <c r="B66" s="304" t="s">
        <v>78</v>
      </c>
      <c r="C66" s="306">
        <v>9500</v>
      </c>
      <c r="D66" s="303"/>
      <c r="E66" s="305">
        <v>38</v>
      </c>
    </row>
    <row r="67" spans="1:5" ht="21">
      <c r="A67" s="303" t="s">
        <v>1355</v>
      </c>
      <c r="B67" s="304" t="s">
        <v>78</v>
      </c>
      <c r="C67" s="306">
        <v>13400</v>
      </c>
      <c r="D67" s="303"/>
      <c r="E67" s="305">
        <v>39</v>
      </c>
    </row>
    <row r="68" spans="1:5" ht="21">
      <c r="A68" s="303" t="s">
        <v>1356</v>
      </c>
      <c r="B68" s="304" t="s">
        <v>78</v>
      </c>
      <c r="C68" s="306">
        <v>22500</v>
      </c>
      <c r="D68" s="303"/>
      <c r="E68" s="305">
        <v>39</v>
      </c>
    </row>
    <row r="69" spans="1:5" ht="21">
      <c r="A69" s="303"/>
      <c r="B69" s="304"/>
      <c r="C69" s="303"/>
      <c r="D69" s="303"/>
      <c r="E69" s="305"/>
    </row>
    <row r="70" spans="1:5" ht="21">
      <c r="A70" s="303" t="s">
        <v>1353</v>
      </c>
      <c r="B70" s="304" t="s">
        <v>78</v>
      </c>
      <c r="C70" s="306">
        <v>45000</v>
      </c>
      <c r="D70" s="303"/>
      <c r="E70" s="305">
        <v>39</v>
      </c>
    </row>
    <row r="71" spans="1:5" ht="21">
      <c r="A71" s="303" t="s">
        <v>1354</v>
      </c>
      <c r="B71" s="304" t="s">
        <v>78</v>
      </c>
      <c r="C71" s="306">
        <v>95000</v>
      </c>
      <c r="D71" s="303"/>
      <c r="E71" s="305">
        <v>39</v>
      </c>
    </row>
    <row r="72" spans="1:5" ht="21">
      <c r="A72" s="303"/>
      <c r="B72" s="304"/>
      <c r="C72" s="303"/>
      <c r="D72" s="303"/>
      <c r="E72" s="305"/>
    </row>
    <row r="73" spans="1:5" ht="21">
      <c r="A73" s="303" t="s">
        <v>1361</v>
      </c>
      <c r="B73" s="304" t="s">
        <v>78</v>
      </c>
      <c r="C73" s="306">
        <v>11000</v>
      </c>
      <c r="D73" s="303"/>
      <c r="E73" s="305">
        <v>40</v>
      </c>
    </row>
    <row r="74" spans="1:5" ht="21">
      <c r="A74" s="303" t="s">
        <v>1359</v>
      </c>
      <c r="B74" s="304" t="s">
        <v>78</v>
      </c>
      <c r="C74" s="306">
        <v>16000</v>
      </c>
      <c r="D74" s="303"/>
      <c r="E74" s="305">
        <v>40</v>
      </c>
    </row>
    <row r="75" spans="1:5" ht="21">
      <c r="A75" s="303" t="s">
        <v>1360</v>
      </c>
      <c r="B75" s="304" t="s">
        <v>78</v>
      </c>
      <c r="C75" s="306">
        <v>20000</v>
      </c>
      <c r="D75" s="303"/>
      <c r="E75" s="305">
        <v>40</v>
      </c>
    </row>
    <row r="76" spans="1:5" ht="21">
      <c r="A76" s="303" t="s">
        <v>1352</v>
      </c>
      <c r="B76" s="304" t="s">
        <v>78</v>
      </c>
      <c r="C76" s="306">
        <v>85000</v>
      </c>
      <c r="D76" s="303"/>
      <c r="E76" s="305" t="s">
        <v>3649</v>
      </c>
    </row>
    <row r="77" spans="1:5" ht="21">
      <c r="A77" s="303"/>
      <c r="B77" s="304"/>
      <c r="C77" s="303"/>
      <c r="D77" s="303"/>
      <c r="E77" s="305"/>
    </row>
    <row r="78" spans="1:5" ht="21">
      <c r="A78" s="303"/>
      <c r="B78" s="304"/>
      <c r="C78" s="303"/>
      <c r="D78" s="303"/>
      <c r="E78" s="305"/>
    </row>
    <row r="79" spans="1:5" ht="21">
      <c r="A79" s="303" t="s">
        <v>424</v>
      </c>
      <c r="B79" s="304" t="s">
        <v>411</v>
      </c>
      <c r="C79" s="306">
        <v>15500</v>
      </c>
      <c r="D79" s="303"/>
      <c r="E79" s="305">
        <v>42</v>
      </c>
    </row>
    <row r="80" spans="1:5" ht="21">
      <c r="A80" s="303" t="s">
        <v>426</v>
      </c>
      <c r="B80" s="304" t="s">
        <v>411</v>
      </c>
      <c r="C80" s="306">
        <v>15800</v>
      </c>
      <c r="D80" s="303"/>
      <c r="E80" s="305">
        <v>42</v>
      </c>
    </row>
    <row r="81" spans="1:5" ht="21">
      <c r="A81" s="303" t="s">
        <v>420</v>
      </c>
      <c r="B81" s="304" t="s">
        <v>411</v>
      </c>
      <c r="C81" s="306">
        <v>50000</v>
      </c>
      <c r="D81" s="303"/>
      <c r="E81" s="305">
        <v>42</v>
      </c>
    </row>
    <row r="82" spans="1:5" ht="21">
      <c r="A82" s="303"/>
      <c r="B82" s="304"/>
      <c r="C82" s="303"/>
      <c r="D82" s="303"/>
      <c r="E82" s="305"/>
    </row>
    <row r="83" spans="1:5" ht="21">
      <c r="A83" s="303" t="s">
        <v>410</v>
      </c>
      <c r="B83" s="304" t="s">
        <v>411</v>
      </c>
      <c r="C83" s="306">
        <v>22600</v>
      </c>
      <c r="D83" s="303"/>
      <c r="E83" s="305">
        <v>43</v>
      </c>
    </row>
    <row r="84" spans="1:5" ht="21">
      <c r="A84" s="303"/>
      <c r="B84" s="304"/>
      <c r="C84" s="303"/>
      <c r="D84" s="303"/>
      <c r="E84" s="305"/>
    </row>
    <row r="85" spans="1:5" ht="21">
      <c r="A85" s="303" t="s">
        <v>416</v>
      </c>
      <c r="B85" s="304" t="s">
        <v>411</v>
      </c>
      <c r="C85" s="306">
        <v>45000</v>
      </c>
      <c r="D85" s="303"/>
      <c r="E85" s="305" t="s">
        <v>3653</v>
      </c>
    </row>
    <row r="86" spans="1:5" ht="21">
      <c r="A86" s="303"/>
      <c r="B86" s="304"/>
      <c r="C86" s="303"/>
      <c r="D86" s="303"/>
      <c r="E86" s="305"/>
    </row>
    <row r="87" spans="1:5" ht="21">
      <c r="A87" s="303" t="s">
        <v>500</v>
      </c>
      <c r="B87" s="304" t="s">
        <v>28</v>
      </c>
      <c r="C87" s="306">
        <v>6900</v>
      </c>
      <c r="D87" s="303"/>
      <c r="E87" s="305">
        <v>44</v>
      </c>
    </row>
    <row r="88" spans="1:5" ht="21">
      <c r="A88" s="303"/>
      <c r="B88" s="304"/>
      <c r="C88" s="303"/>
      <c r="D88" s="303"/>
      <c r="E88" s="305"/>
    </row>
    <row r="89" spans="1:5" ht="21">
      <c r="A89" s="303" t="s">
        <v>497</v>
      </c>
      <c r="B89" s="304" t="s">
        <v>28</v>
      </c>
      <c r="C89" s="306">
        <v>20000</v>
      </c>
      <c r="D89" s="303"/>
      <c r="E89" s="305">
        <v>44</v>
      </c>
    </row>
    <row r="90" spans="1:5" ht="21">
      <c r="A90" s="303"/>
      <c r="B90" s="304"/>
      <c r="C90" s="303"/>
      <c r="D90" s="303"/>
      <c r="E90" s="305"/>
    </row>
    <row r="91" spans="1:5" ht="21">
      <c r="A91" s="303" t="s">
        <v>502</v>
      </c>
      <c r="B91" s="304" t="s">
        <v>28</v>
      </c>
      <c r="C91" s="306">
        <v>12800</v>
      </c>
      <c r="D91" s="303"/>
      <c r="E91" s="305">
        <v>45</v>
      </c>
    </row>
    <row r="92" spans="1:5" ht="21">
      <c r="A92" s="303"/>
      <c r="B92" s="304"/>
      <c r="C92" s="303"/>
      <c r="D92" s="303"/>
      <c r="E92" s="305"/>
    </row>
    <row r="93" spans="1:5" ht="21">
      <c r="A93" s="303" t="s">
        <v>510</v>
      </c>
      <c r="B93" s="304" t="s">
        <v>28</v>
      </c>
      <c r="C93" s="306">
        <v>8000</v>
      </c>
      <c r="D93" s="303"/>
      <c r="E93" s="305">
        <v>45</v>
      </c>
    </row>
    <row r="94" spans="1:5" ht="21">
      <c r="A94" s="303"/>
      <c r="B94" s="304"/>
      <c r="C94" s="303"/>
      <c r="D94" s="303"/>
      <c r="E94" s="305"/>
    </row>
    <row r="95" spans="1:5" ht="21">
      <c r="A95" s="303" t="s">
        <v>506</v>
      </c>
      <c r="B95" s="304" t="s">
        <v>28</v>
      </c>
      <c r="C95" s="306">
        <v>11500</v>
      </c>
      <c r="D95" s="303"/>
      <c r="E95" s="305">
        <v>45</v>
      </c>
    </row>
    <row r="96" spans="1:5" ht="21">
      <c r="A96" s="303"/>
      <c r="B96" s="304"/>
      <c r="C96" s="303"/>
      <c r="D96" s="303"/>
      <c r="E96" s="305"/>
    </row>
    <row r="97" spans="1:5" ht="21">
      <c r="A97" s="303" t="s">
        <v>640</v>
      </c>
      <c r="B97" s="304" t="s">
        <v>78</v>
      </c>
      <c r="C97" s="306">
        <v>13000</v>
      </c>
      <c r="D97" s="303"/>
      <c r="E97" s="305">
        <v>45</v>
      </c>
    </row>
    <row r="98" spans="1:5" ht="21">
      <c r="A98" s="303"/>
      <c r="B98" s="304"/>
      <c r="C98" s="303"/>
      <c r="D98" s="303"/>
      <c r="E98" s="305"/>
    </row>
    <row r="99" spans="1:5" ht="21">
      <c r="A99" s="303" t="s">
        <v>400</v>
      </c>
      <c r="B99" s="304" t="s">
        <v>358</v>
      </c>
      <c r="C99" s="306">
        <v>550000</v>
      </c>
      <c r="D99" s="303"/>
      <c r="E99" s="305">
        <v>46</v>
      </c>
    </row>
    <row r="100" spans="1:5" ht="21">
      <c r="A100" s="303"/>
      <c r="B100" s="304"/>
      <c r="C100" s="303"/>
      <c r="D100" s="303"/>
      <c r="E100" s="305"/>
    </row>
    <row r="101" spans="1:5" ht="21">
      <c r="A101" s="303" t="s">
        <v>138</v>
      </c>
      <c r="B101" s="304" t="s">
        <v>78</v>
      </c>
      <c r="C101" s="306">
        <v>11000</v>
      </c>
      <c r="D101" s="303"/>
      <c r="E101" s="305">
        <v>46</v>
      </c>
    </row>
    <row r="102" spans="1:5" ht="21">
      <c r="A102" s="303"/>
      <c r="B102" s="304"/>
      <c r="C102" s="303"/>
      <c r="D102" s="303"/>
      <c r="E102" s="305"/>
    </row>
    <row r="103" spans="1:5" ht="21">
      <c r="A103" s="303"/>
      <c r="B103" s="304"/>
      <c r="C103" s="303"/>
      <c r="D103" s="303"/>
      <c r="E103" s="305"/>
    </row>
    <row r="104" spans="1:5" ht="21">
      <c r="A104" s="303" t="s">
        <v>86</v>
      </c>
      <c r="B104" s="304" t="s">
        <v>78</v>
      </c>
      <c r="C104" s="306">
        <v>8000</v>
      </c>
      <c r="D104" s="303"/>
      <c r="E104" s="305">
        <v>47</v>
      </c>
    </row>
    <row r="105" spans="1:5" ht="21">
      <c r="A105" s="303" t="s">
        <v>88</v>
      </c>
      <c r="B105" s="304" t="s">
        <v>78</v>
      </c>
      <c r="C105" s="306">
        <v>20000</v>
      </c>
      <c r="D105" s="303"/>
      <c r="E105" s="305">
        <v>47</v>
      </c>
    </row>
    <row r="106" spans="1:5" ht="21">
      <c r="A106" s="303"/>
      <c r="B106" s="304"/>
      <c r="C106" s="303"/>
      <c r="D106" s="303"/>
      <c r="E106" s="305"/>
    </row>
    <row r="107" spans="1:5" ht="21">
      <c r="A107" s="303"/>
      <c r="B107" s="304"/>
      <c r="C107" s="303"/>
      <c r="D107" s="303"/>
      <c r="E107" s="305"/>
    </row>
    <row r="108" spans="1:5" ht="21">
      <c r="A108" s="303" t="s">
        <v>302</v>
      </c>
      <c r="B108" s="304" t="s">
        <v>78</v>
      </c>
      <c r="C108" s="306">
        <v>7900</v>
      </c>
      <c r="D108" s="303"/>
      <c r="E108" s="305">
        <v>47</v>
      </c>
    </row>
    <row r="109" spans="1:5" ht="21">
      <c r="A109" s="303" t="s">
        <v>305</v>
      </c>
      <c r="B109" s="304" t="s">
        <v>78</v>
      </c>
      <c r="C109" s="306">
        <v>70000</v>
      </c>
      <c r="D109" s="303"/>
      <c r="E109" s="305">
        <v>48</v>
      </c>
    </row>
    <row r="110" spans="1:5" ht="21">
      <c r="A110" s="303"/>
      <c r="B110" s="304"/>
      <c r="C110" s="303"/>
      <c r="D110" s="303"/>
      <c r="E110" s="305"/>
    </row>
    <row r="111" spans="1:5" ht="21">
      <c r="A111" s="303" t="s">
        <v>492</v>
      </c>
      <c r="B111" s="304" t="s">
        <v>53</v>
      </c>
      <c r="C111" s="306">
        <v>460000</v>
      </c>
      <c r="D111" s="303"/>
      <c r="E111" s="305" t="s">
        <v>3659</v>
      </c>
    </row>
    <row r="112" spans="1:5" ht="21">
      <c r="A112" s="303"/>
      <c r="B112" s="304"/>
      <c r="C112" s="303"/>
      <c r="D112" s="303"/>
      <c r="E112" s="305"/>
    </row>
    <row r="113" spans="1:5" ht="21">
      <c r="A113" s="303" t="s">
        <v>1344</v>
      </c>
      <c r="B113" s="304" t="s">
        <v>78</v>
      </c>
      <c r="C113" s="306">
        <v>12000</v>
      </c>
      <c r="D113" s="303"/>
      <c r="E113" s="305">
        <v>53</v>
      </c>
    </row>
    <row r="114" spans="1:5" ht="21">
      <c r="A114" s="303"/>
      <c r="B114" s="304"/>
      <c r="C114" s="303"/>
      <c r="D114" s="303"/>
      <c r="E114" s="305"/>
    </row>
    <row r="115" spans="1:5" ht="21">
      <c r="A115" s="303" t="s">
        <v>355</v>
      </c>
      <c r="B115" s="304" t="s">
        <v>53</v>
      </c>
      <c r="C115" s="306">
        <v>65000</v>
      </c>
      <c r="D115" s="303"/>
      <c r="E115" s="305" t="s">
        <v>3660</v>
      </c>
    </row>
    <row r="116" spans="1:5" ht="21">
      <c r="A116" s="303"/>
      <c r="B116" s="304"/>
      <c r="C116" s="303"/>
      <c r="D116" s="303"/>
      <c r="E116" s="305"/>
    </row>
    <row r="117" spans="1:5" ht="21">
      <c r="A117" s="303"/>
      <c r="B117" s="304"/>
      <c r="C117" s="303"/>
      <c r="D117" s="303"/>
      <c r="E117" s="305"/>
    </row>
    <row r="118" spans="1:5" ht="21">
      <c r="A118" s="303"/>
      <c r="B118" s="304"/>
      <c r="C118" s="303"/>
      <c r="D118" s="303"/>
      <c r="E118" s="305"/>
    </row>
    <row r="119" spans="1:5" ht="21">
      <c r="A119" s="303"/>
      <c r="B119" s="304"/>
      <c r="C119" s="303"/>
      <c r="D119" s="303"/>
      <c r="E119" s="305"/>
    </row>
    <row r="120" spans="1:5" ht="21">
      <c r="A120" s="303"/>
      <c r="B120" s="304"/>
      <c r="C120" s="303"/>
      <c r="D120" s="303"/>
      <c r="E120" s="305"/>
    </row>
    <row r="121" spans="1:5" ht="21">
      <c r="A121" s="303" t="s">
        <v>343</v>
      </c>
      <c r="B121" s="304" t="s">
        <v>28</v>
      </c>
      <c r="C121" s="306">
        <v>8800</v>
      </c>
      <c r="D121" s="303"/>
      <c r="E121" s="305">
        <v>55</v>
      </c>
    </row>
    <row r="122" spans="1:5" ht="21">
      <c r="A122" s="303"/>
      <c r="B122" s="304"/>
      <c r="C122" s="303"/>
      <c r="D122" s="303"/>
      <c r="E122" s="305"/>
    </row>
    <row r="123" spans="1:5" ht="21">
      <c r="A123" s="303"/>
      <c r="B123" s="304"/>
      <c r="C123" s="303"/>
      <c r="D123" s="303"/>
      <c r="E123" s="305"/>
    </row>
    <row r="124" spans="1:5" ht="21">
      <c r="A124" s="303" t="s">
        <v>345</v>
      </c>
      <c r="B124" s="304" t="s">
        <v>28</v>
      </c>
      <c r="C124" s="306">
        <v>14000</v>
      </c>
      <c r="D124" s="303"/>
      <c r="E124" s="305">
        <v>55</v>
      </c>
    </row>
    <row r="125" spans="1:5" ht="21">
      <c r="A125" s="303" t="s">
        <v>347</v>
      </c>
      <c r="B125" s="304" t="s">
        <v>28</v>
      </c>
      <c r="C125" s="306">
        <v>28000</v>
      </c>
      <c r="D125" s="303"/>
      <c r="E125" s="305">
        <v>55</v>
      </c>
    </row>
    <row r="126" spans="1:5" ht="21">
      <c r="A126" s="303"/>
      <c r="B126" s="304"/>
      <c r="C126" s="303"/>
      <c r="D126" s="303"/>
      <c r="E126" s="305"/>
    </row>
    <row r="127" spans="1:5" ht="21">
      <c r="A127" s="303"/>
      <c r="B127" s="304"/>
      <c r="C127" s="303"/>
      <c r="D127" s="303"/>
      <c r="E127" s="305"/>
    </row>
    <row r="128" spans="1:5" ht="21">
      <c r="A128" s="303" t="s">
        <v>349</v>
      </c>
      <c r="B128" s="304" t="s">
        <v>28</v>
      </c>
      <c r="C128" s="306">
        <v>16000</v>
      </c>
      <c r="D128" s="303"/>
      <c r="E128" s="305">
        <v>55</v>
      </c>
    </row>
    <row r="129" spans="1:5" ht="21">
      <c r="A129" s="303" t="s">
        <v>353</v>
      </c>
      <c r="B129" s="304" t="s">
        <v>28</v>
      </c>
      <c r="C129" s="306">
        <v>18000</v>
      </c>
      <c r="D129" s="303"/>
      <c r="E129" s="305">
        <v>55</v>
      </c>
    </row>
    <row r="130" spans="1:5" ht="21">
      <c r="A130" s="303"/>
      <c r="B130" s="304"/>
      <c r="C130" s="303"/>
      <c r="D130" s="303"/>
      <c r="E130" s="305"/>
    </row>
    <row r="131" spans="1:5" ht="21">
      <c r="A131" s="303" t="s">
        <v>646</v>
      </c>
      <c r="B131" s="304" t="s">
        <v>48</v>
      </c>
      <c r="C131" s="306">
        <v>16000</v>
      </c>
      <c r="D131" s="303"/>
      <c r="E131" s="305">
        <v>55</v>
      </c>
    </row>
    <row r="132" spans="1:5" ht="21">
      <c r="A132" s="303"/>
      <c r="B132" s="304"/>
      <c r="C132" s="303"/>
      <c r="D132" s="303"/>
      <c r="E132" s="305"/>
    </row>
    <row r="133" spans="1:5" ht="21">
      <c r="A133" s="303"/>
      <c r="B133" s="304"/>
      <c r="C133" s="303"/>
      <c r="D133" s="303"/>
      <c r="E133" s="305"/>
    </row>
    <row r="134" spans="1:5" ht="21">
      <c r="A134" s="303" t="s">
        <v>644</v>
      </c>
      <c r="B134" s="304" t="s">
        <v>48</v>
      </c>
      <c r="C134" s="306">
        <v>145000</v>
      </c>
      <c r="D134" s="303"/>
      <c r="E134" s="305">
        <v>55</v>
      </c>
    </row>
    <row r="135" spans="1:5" ht="21">
      <c r="A135" s="303"/>
      <c r="B135" s="304"/>
      <c r="C135" s="303"/>
      <c r="D135" s="303"/>
      <c r="E135" s="305"/>
    </row>
    <row r="136" spans="1:5" ht="21">
      <c r="A136" s="303"/>
      <c r="B136" s="304"/>
      <c r="C136" s="303"/>
      <c r="D136" s="303"/>
      <c r="E136" s="305"/>
    </row>
    <row r="137" spans="1:5" ht="21">
      <c r="A137" s="303"/>
      <c r="B137" s="304"/>
      <c r="C137" s="303"/>
      <c r="D137" s="303"/>
      <c r="E137" s="305"/>
    </row>
    <row r="138" spans="1:5" ht="21">
      <c r="A138" s="303" t="s">
        <v>650</v>
      </c>
      <c r="B138" s="304" t="s">
        <v>48</v>
      </c>
      <c r="C138" s="306">
        <v>110000</v>
      </c>
      <c r="D138" s="303"/>
      <c r="E138" s="305">
        <v>55</v>
      </c>
    </row>
    <row r="139" spans="1:5" ht="21">
      <c r="A139" s="303" t="s">
        <v>652</v>
      </c>
      <c r="B139" s="304" t="s">
        <v>48</v>
      </c>
      <c r="C139" s="306">
        <v>207000</v>
      </c>
      <c r="D139" s="303"/>
      <c r="E139" s="305">
        <v>56</v>
      </c>
    </row>
    <row r="140" spans="1:5" ht="21">
      <c r="A140" s="303"/>
      <c r="B140" s="304"/>
      <c r="C140" s="303"/>
      <c r="D140" s="303"/>
      <c r="E140" s="305"/>
    </row>
    <row r="141" spans="1:5" ht="21">
      <c r="A141" s="303"/>
      <c r="B141" s="304"/>
      <c r="C141" s="303"/>
      <c r="D141" s="303"/>
      <c r="E141" s="305"/>
    </row>
    <row r="142" spans="1:5" ht="21">
      <c r="A142" s="303" t="s">
        <v>662</v>
      </c>
      <c r="B142" s="304" t="s">
        <v>48</v>
      </c>
      <c r="C142" s="306">
        <v>460000</v>
      </c>
      <c r="D142" s="303"/>
      <c r="E142" s="305">
        <v>56</v>
      </c>
    </row>
    <row r="143" spans="1:5" ht="21">
      <c r="A143" s="303" t="s">
        <v>656</v>
      </c>
      <c r="B143" s="304" t="s">
        <v>48</v>
      </c>
      <c r="C143" s="306">
        <v>420000</v>
      </c>
      <c r="D143" s="303"/>
      <c r="E143" s="305">
        <v>56</v>
      </c>
    </row>
    <row r="144" spans="1:5" ht="21">
      <c r="A144" s="303" t="s">
        <v>660</v>
      </c>
      <c r="B144" s="304" t="s">
        <v>48</v>
      </c>
      <c r="C144" s="306">
        <v>380000</v>
      </c>
      <c r="D144" s="303"/>
      <c r="E144" s="305">
        <v>56</v>
      </c>
    </row>
    <row r="145" spans="1:5" ht="21">
      <c r="A145" s="303"/>
      <c r="B145" s="304"/>
      <c r="C145" s="303"/>
      <c r="D145" s="303"/>
      <c r="E145" s="305"/>
    </row>
    <row r="146" spans="1:5" ht="21">
      <c r="A146" s="303"/>
      <c r="B146" s="304"/>
      <c r="C146" s="303"/>
      <c r="D146" s="303"/>
      <c r="E146" s="305"/>
    </row>
    <row r="147" spans="1:5" ht="21">
      <c r="A147" s="303"/>
      <c r="B147" s="304"/>
      <c r="C147" s="303"/>
      <c r="D147" s="303"/>
      <c r="E147" s="305"/>
    </row>
    <row r="148" spans="1:5" ht="21">
      <c r="A148" s="303" t="s">
        <v>330</v>
      </c>
      <c r="B148" s="304" t="s">
        <v>331</v>
      </c>
      <c r="C148" s="306">
        <v>9500</v>
      </c>
      <c r="D148" s="303"/>
      <c r="E148" s="305">
        <v>57</v>
      </c>
    </row>
    <row r="149" spans="1:5" ht="21">
      <c r="A149" s="303" t="s">
        <v>333</v>
      </c>
      <c r="B149" s="304" t="s">
        <v>331</v>
      </c>
      <c r="C149" s="306">
        <v>13100</v>
      </c>
      <c r="D149" s="303"/>
      <c r="E149" s="305">
        <v>57</v>
      </c>
    </row>
    <row r="150" spans="1:5" ht="21">
      <c r="A150" s="303" t="s">
        <v>335</v>
      </c>
      <c r="B150" s="304" t="s">
        <v>331</v>
      </c>
      <c r="C150" s="306">
        <v>21800</v>
      </c>
      <c r="D150" s="303"/>
      <c r="E150" s="305">
        <v>57</v>
      </c>
    </row>
    <row r="151" spans="1:5" ht="21">
      <c r="A151" s="303" t="s">
        <v>337</v>
      </c>
      <c r="B151" s="304" t="s">
        <v>331</v>
      </c>
      <c r="C151" s="306">
        <v>35200</v>
      </c>
      <c r="D151" s="303"/>
      <c r="E151" s="305">
        <v>57</v>
      </c>
    </row>
    <row r="152" spans="1:5" ht="21">
      <c r="A152" s="303" t="s">
        <v>339</v>
      </c>
      <c r="B152" s="304" t="s">
        <v>331</v>
      </c>
      <c r="C152" s="306">
        <v>40000</v>
      </c>
      <c r="D152" s="303" t="s">
        <v>3671</v>
      </c>
      <c r="E152" s="305">
        <v>57</v>
      </c>
    </row>
    <row r="153" spans="1:5" ht="21">
      <c r="A153" s="303"/>
      <c r="B153" s="304"/>
      <c r="C153" s="303"/>
      <c r="D153" s="303"/>
      <c r="E153" s="305"/>
    </row>
    <row r="154" spans="1:5" ht="21">
      <c r="A154" s="303"/>
      <c r="B154" s="304"/>
      <c r="C154" s="303"/>
      <c r="D154" s="303"/>
      <c r="E154" s="305"/>
    </row>
    <row r="155" spans="1:5" ht="21">
      <c r="A155" s="303" t="s">
        <v>84</v>
      </c>
      <c r="B155" s="304" t="s">
        <v>78</v>
      </c>
      <c r="C155" s="306">
        <v>20800</v>
      </c>
      <c r="D155" s="303"/>
      <c r="E155" s="305">
        <v>57</v>
      </c>
    </row>
    <row r="156" spans="1:5" ht="21">
      <c r="A156" s="303"/>
      <c r="B156" s="304"/>
      <c r="C156" s="303"/>
      <c r="D156" s="303"/>
      <c r="E156" s="305"/>
    </row>
    <row r="157" spans="1:5" ht="21">
      <c r="A157" s="303" t="s">
        <v>275</v>
      </c>
      <c r="B157" s="304" t="s">
        <v>78</v>
      </c>
      <c r="C157" s="306">
        <v>13300</v>
      </c>
      <c r="D157" s="303" t="s">
        <v>3673</v>
      </c>
      <c r="E157" s="305">
        <v>58</v>
      </c>
    </row>
    <row r="158" spans="1:5" ht="21">
      <c r="A158" s="303"/>
      <c r="B158" s="304"/>
      <c r="C158" s="303"/>
      <c r="D158" s="303"/>
      <c r="E158" s="305"/>
    </row>
    <row r="159" spans="1:5" ht="21">
      <c r="A159" s="303"/>
      <c r="B159" s="304"/>
      <c r="C159" s="303"/>
      <c r="D159" s="303"/>
      <c r="E159" s="305"/>
    </row>
    <row r="160" spans="1:5" ht="21">
      <c r="A160" s="303" t="s">
        <v>277</v>
      </c>
      <c r="B160" s="304" t="s">
        <v>78</v>
      </c>
      <c r="C160" s="306">
        <v>27700</v>
      </c>
      <c r="D160" s="303"/>
      <c r="E160" s="305">
        <v>58</v>
      </c>
    </row>
    <row r="161" spans="1:5" ht="21">
      <c r="A161" s="303" t="s">
        <v>281</v>
      </c>
      <c r="B161" s="304" t="s">
        <v>78</v>
      </c>
      <c r="C161" s="306">
        <v>28200</v>
      </c>
      <c r="D161" s="303"/>
      <c r="E161" s="305">
        <v>58</v>
      </c>
    </row>
    <row r="162" spans="1:5" ht="21">
      <c r="A162" s="303" t="s">
        <v>283</v>
      </c>
      <c r="B162" s="304" t="s">
        <v>78</v>
      </c>
      <c r="C162" s="306">
        <v>30300</v>
      </c>
      <c r="D162" s="303"/>
      <c r="E162" s="305">
        <v>58</v>
      </c>
    </row>
    <row r="163" spans="1:5" ht="21">
      <c r="A163" s="303" t="s">
        <v>287</v>
      </c>
      <c r="B163" s="304" t="s">
        <v>78</v>
      </c>
      <c r="C163" s="306">
        <v>42500</v>
      </c>
      <c r="D163" s="303"/>
      <c r="E163" s="305">
        <v>58</v>
      </c>
    </row>
    <row r="164" spans="1:5" ht="21">
      <c r="A164" s="303" t="s">
        <v>289</v>
      </c>
      <c r="B164" s="304" t="s">
        <v>78</v>
      </c>
      <c r="C164" s="306">
        <v>54400</v>
      </c>
      <c r="D164" s="303" t="s">
        <v>3676</v>
      </c>
      <c r="E164" s="305">
        <v>58</v>
      </c>
    </row>
    <row r="165" spans="1:5" ht="21">
      <c r="A165" s="303"/>
      <c r="B165" s="304"/>
      <c r="C165" s="303"/>
      <c r="D165" s="303"/>
      <c r="E165" s="305"/>
    </row>
    <row r="166" spans="1:5" ht="21">
      <c r="A166" s="303"/>
      <c r="B166" s="304"/>
      <c r="C166" s="303"/>
      <c r="D166" s="303"/>
      <c r="E166" s="305"/>
    </row>
    <row r="167" spans="1:5" ht="21">
      <c r="A167" s="303"/>
      <c r="B167" s="304"/>
      <c r="C167" s="303"/>
      <c r="D167" s="303"/>
      <c r="E167" s="305"/>
    </row>
    <row r="168" spans="1:5" ht="21">
      <c r="A168" s="303" t="s">
        <v>47</v>
      </c>
      <c r="B168" s="304" t="s">
        <v>48</v>
      </c>
      <c r="C168" s="306">
        <v>13600</v>
      </c>
      <c r="D168" s="303"/>
      <c r="E168" s="305">
        <v>58</v>
      </c>
    </row>
    <row r="169" spans="1:5" ht="21">
      <c r="A169" s="303" t="s">
        <v>50</v>
      </c>
      <c r="B169" s="304" t="s">
        <v>48</v>
      </c>
      <c r="C169" s="306">
        <v>19300</v>
      </c>
      <c r="D169" s="303" t="s">
        <v>3677</v>
      </c>
      <c r="E169" s="305">
        <v>58</v>
      </c>
    </row>
    <row r="170" spans="1:5" ht="21">
      <c r="A170" s="303"/>
      <c r="B170" s="304"/>
      <c r="C170" s="303"/>
      <c r="D170" s="303"/>
      <c r="E170" s="305"/>
    </row>
    <row r="171" spans="1:5" ht="21">
      <c r="A171" s="303"/>
      <c r="B171" s="304"/>
      <c r="C171" s="303"/>
      <c r="D171" s="303"/>
      <c r="E171" s="305"/>
    </row>
    <row r="172" spans="1:5" ht="21">
      <c r="A172" s="303"/>
      <c r="B172" s="304"/>
      <c r="C172" s="303"/>
      <c r="D172" s="303"/>
      <c r="E172" s="305"/>
    </row>
    <row r="173" spans="1:5" ht="21">
      <c r="A173" s="303"/>
      <c r="B173" s="304"/>
      <c r="C173" s="303"/>
      <c r="D173" s="303"/>
      <c r="E173" s="305"/>
    </row>
    <row r="174" spans="1:5" ht="21">
      <c r="A174" s="303" t="s">
        <v>470</v>
      </c>
      <c r="B174" s="304" t="s">
        <v>78</v>
      </c>
      <c r="C174" s="306">
        <v>8000</v>
      </c>
      <c r="D174" s="303" t="s">
        <v>3680</v>
      </c>
      <c r="E174" s="305">
        <v>58</v>
      </c>
    </row>
    <row r="175" spans="1:5" ht="21">
      <c r="A175" s="303"/>
      <c r="B175" s="304"/>
      <c r="C175" s="303"/>
      <c r="D175" s="303"/>
      <c r="E175" s="305"/>
    </row>
    <row r="176" spans="1:5" ht="21">
      <c r="A176" s="303"/>
      <c r="B176" s="304"/>
      <c r="C176" s="303"/>
      <c r="D176" s="303"/>
      <c r="E176" s="305"/>
    </row>
    <row r="177" spans="1:5" ht="21">
      <c r="A177" s="303" t="s">
        <v>474</v>
      </c>
      <c r="B177" s="304" t="s">
        <v>78</v>
      </c>
      <c r="C177" s="306">
        <v>10300</v>
      </c>
      <c r="D177" s="303"/>
      <c r="E177" s="305">
        <v>58</v>
      </c>
    </row>
    <row r="178" spans="1:5" ht="21">
      <c r="A178" s="303" t="s">
        <v>476</v>
      </c>
      <c r="B178" s="304" t="s">
        <v>78</v>
      </c>
      <c r="C178" s="306">
        <v>13100</v>
      </c>
      <c r="D178" s="303"/>
      <c r="E178" s="305">
        <v>58</v>
      </c>
    </row>
    <row r="179" spans="1:5" ht="21">
      <c r="A179" s="303" t="s">
        <v>480</v>
      </c>
      <c r="B179" s="304" t="s">
        <v>78</v>
      </c>
      <c r="C179" s="306">
        <v>17500</v>
      </c>
      <c r="D179" s="303"/>
      <c r="E179" s="305">
        <v>58</v>
      </c>
    </row>
    <row r="180" spans="1:5" ht="21">
      <c r="A180" s="303" t="s">
        <v>484</v>
      </c>
      <c r="B180" s="304" t="s">
        <v>78</v>
      </c>
      <c r="C180" s="306">
        <v>17800</v>
      </c>
      <c r="D180" s="303"/>
      <c r="E180" s="305">
        <v>58</v>
      </c>
    </row>
    <row r="181" spans="1:5" ht="21">
      <c r="A181" s="303" t="s">
        <v>488</v>
      </c>
      <c r="B181" s="304" t="s">
        <v>78</v>
      </c>
      <c r="C181" s="306">
        <v>23200</v>
      </c>
      <c r="D181" s="303" t="s">
        <v>3681</v>
      </c>
      <c r="E181" s="305">
        <v>58</v>
      </c>
    </row>
    <row r="182" spans="1:5" ht="21">
      <c r="A182" s="303"/>
      <c r="B182" s="304"/>
      <c r="C182" s="303"/>
      <c r="D182" s="303"/>
      <c r="E182" s="305"/>
    </row>
    <row r="183" spans="1:5" ht="21">
      <c r="A183" s="303"/>
      <c r="B183" s="304"/>
      <c r="C183" s="303"/>
      <c r="D183" s="303"/>
      <c r="E183" s="305"/>
    </row>
    <row r="184" spans="1:5" ht="21">
      <c r="A184" s="303" t="s">
        <v>455</v>
      </c>
      <c r="B184" s="304" t="s">
        <v>78</v>
      </c>
      <c r="C184" s="306">
        <v>10200</v>
      </c>
      <c r="D184" s="303" t="s">
        <v>3680</v>
      </c>
      <c r="E184" s="305">
        <v>59</v>
      </c>
    </row>
    <row r="185" spans="1:5" ht="21">
      <c r="A185" s="303"/>
      <c r="B185" s="304"/>
      <c r="C185" s="306"/>
      <c r="D185" s="303"/>
      <c r="E185" s="305"/>
    </row>
    <row r="186" spans="1:5" ht="21">
      <c r="A186" s="303" t="s">
        <v>457</v>
      </c>
      <c r="B186" s="304" t="s">
        <v>78</v>
      </c>
      <c r="C186" s="306">
        <v>17700</v>
      </c>
      <c r="D186" s="303"/>
      <c r="E186" s="305">
        <v>59</v>
      </c>
    </row>
    <row r="187" spans="1:5" ht="21">
      <c r="A187" s="303" t="s">
        <v>463</v>
      </c>
      <c r="B187" s="304" t="s">
        <v>78</v>
      </c>
      <c r="C187" s="306">
        <v>21300</v>
      </c>
      <c r="D187" s="303"/>
      <c r="E187" s="305">
        <v>59</v>
      </c>
    </row>
    <row r="188" spans="1:5" ht="21">
      <c r="A188" s="303" t="s">
        <v>465</v>
      </c>
      <c r="B188" s="304" t="s">
        <v>78</v>
      </c>
      <c r="C188" s="306">
        <v>26500</v>
      </c>
      <c r="D188" s="303" t="s">
        <v>3681</v>
      </c>
      <c r="E188" s="305">
        <v>59</v>
      </c>
    </row>
    <row r="189" spans="1:5" ht="21">
      <c r="A189" s="303"/>
      <c r="B189" s="304"/>
      <c r="C189" s="303"/>
      <c r="D189" s="303"/>
      <c r="E189" s="305"/>
    </row>
    <row r="190" spans="1:5" ht="21">
      <c r="A190" s="303"/>
      <c r="B190" s="304"/>
      <c r="C190" s="303"/>
      <c r="D190" s="303"/>
      <c r="E190" s="305"/>
    </row>
    <row r="191" spans="1:5" ht="21">
      <c r="A191" s="303"/>
      <c r="B191" s="304"/>
      <c r="C191" s="303"/>
      <c r="D191" s="303"/>
      <c r="E191" s="305"/>
    </row>
    <row r="192" spans="1:5" ht="21">
      <c r="A192" s="303"/>
      <c r="B192" s="304"/>
      <c r="C192" s="303"/>
      <c r="D192" s="303"/>
      <c r="E192" s="305"/>
    </row>
    <row r="193" spans="1:5" ht="21">
      <c r="A193" s="303" t="s">
        <v>374</v>
      </c>
      <c r="B193" s="304" t="s">
        <v>358</v>
      </c>
      <c r="C193" s="306">
        <v>6500</v>
      </c>
      <c r="D193" s="303"/>
      <c r="E193" s="305">
        <v>60</v>
      </c>
    </row>
    <row r="194" spans="1:5" ht="21">
      <c r="A194" s="303" t="s">
        <v>378</v>
      </c>
      <c r="B194" s="304" t="s">
        <v>358</v>
      </c>
      <c r="C194" s="306">
        <v>9400</v>
      </c>
      <c r="D194" s="303"/>
      <c r="E194" s="305">
        <v>60</v>
      </c>
    </row>
    <row r="195" spans="1:5" ht="21">
      <c r="A195" s="303" t="s">
        <v>381</v>
      </c>
      <c r="B195" s="304" t="s">
        <v>358</v>
      </c>
      <c r="C195" s="306">
        <v>15000</v>
      </c>
      <c r="D195" s="303"/>
      <c r="E195" s="305">
        <v>60</v>
      </c>
    </row>
    <row r="196" spans="1:5" ht="21">
      <c r="A196" s="303" t="s">
        <v>369</v>
      </c>
      <c r="B196" s="304" t="s">
        <v>358</v>
      </c>
      <c r="C196" s="306">
        <v>19000</v>
      </c>
      <c r="D196" s="303"/>
      <c r="E196" s="305">
        <v>60</v>
      </c>
    </row>
    <row r="197" spans="1:5" ht="21">
      <c r="A197" s="303" t="s">
        <v>371</v>
      </c>
      <c r="B197" s="304" t="s">
        <v>358</v>
      </c>
      <c r="C197" s="306">
        <v>25000</v>
      </c>
      <c r="D197" s="303" t="s">
        <v>3686</v>
      </c>
      <c r="E197" s="305">
        <v>60</v>
      </c>
    </row>
    <row r="198" spans="1:5" ht="21">
      <c r="A198" s="303"/>
      <c r="B198" s="304"/>
      <c r="C198" s="303"/>
      <c r="D198" s="303"/>
      <c r="E198" s="305"/>
    </row>
    <row r="199" spans="1:5" ht="21">
      <c r="A199" s="303"/>
      <c r="B199" s="304"/>
      <c r="C199" s="303"/>
      <c r="D199" s="303"/>
      <c r="E199" s="305"/>
    </row>
    <row r="200" spans="1:5" ht="21">
      <c r="A200" s="303"/>
      <c r="B200" s="304"/>
      <c r="C200" s="303"/>
      <c r="D200" s="303"/>
      <c r="E200" s="305"/>
    </row>
    <row r="201" spans="1:5" ht="21">
      <c r="A201" s="303" t="s">
        <v>357</v>
      </c>
      <c r="B201" s="304" t="s">
        <v>358</v>
      </c>
      <c r="C201" s="306">
        <v>35000</v>
      </c>
      <c r="D201" s="303"/>
      <c r="E201" s="305">
        <v>60</v>
      </c>
    </row>
    <row r="202" spans="1:5" ht="21">
      <c r="A202" s="303" t="s">
        <v>362</v>
      </c>
      <c r="B202" s="304" t="s">
        <v>358</v>
      </c>
      <c r="C202" s="306">
        <v>49000</v>
      </c>
      <c r="D202" s="303"/>
      <c r="E202" s="305">
        <v>60</v>
      </c>
    </row>
    <row r="203" spans="1:5" ht="21">
      <c r="A203" s="303" t="s">
        <v>364</v>
      </c>
      <c r="B203" s="304" t="s">
        <v>358</v>
      </c>
      <c r="C203" s="306">
        <v>66000</v>
      </c>
      <c r="D203" s="303" t="s">
        <v>3690</v>
      </c>
      <c r="E203" s="305">
        <v>60</v>
      </c>
    </row>
    <row r="204" spans="1:5" ht="21">
      <c r="A204" s="303"/>
      <c r="B204" s="304"/>
      <c r="C204" s="303"/>
      <c r="D204" s="303"/>
      <c r="E204" s="305"/>
    </row>
    <row r="205" spans="1:5" ht="21">
      <c r="A205" s="303"/>
      <c r="B205" s="304"/>
      <c r="C205" s="303"/>
      <c r="D205" s="303"/>
      <c r="E205" s="305"/>
    </row>
    <row r="206" spans="1:5" ht="21">
      <c r="A206" s="303"/>
      <c r="B206" s="304"/>
      <c r="C206" s="303"/>
      <c r="D206" s="303"/>
      <c r="E206" s="305"/>
    </row>
    <row r="207" spans="1:5" ht="21">
      <c r="A207" s="303" t="s">
        <v>199</v>
      </c>
      <c r="B207" s="304" t="s">
        <v>78</v>
      </c>
      <c r="C207" s="306">
        <v>14000</v>
      </c>
      <c r="D207" s="303"/>
      <c r="E207" s="305">
        <v>60</v>
      </c>
    </row>
    <row r="208" spans="1:5" ht="21">
      <c r="A208" s="303" t="s">
        <v>201</v>
      </c>
      <c r="B208" s="304" t="s">
        <v>78</v>
      </c>
      <c r="C208" s="306">
        <v>15000</v>
      </c>
      <c r="D208" s="303"/>
      <c r="E208" s="305">
        <v>60</v>
      </c>
    </row>
    <row r="209" spans="1:5" ht="21">
      <c r="A209" s="303"/>
      <c r="B209" s="304"/>
      <c r="C209" s="303"/>
      <c r="D209" s="303"/>
      <c r="E209" s="305"/>
    </row>
    <row r="210" spans="1:5" ht="21">
      <c r="A210" s="303" t="s">
        <v>205</v>
      </c>
      <c r="B210" s="304" t="s">
        <v>78</v>
      </c>
      <c r="C210" s="306">
        <v>26000</v>
      </c>
      <c r="D210" s="303"/>
      <c r="E210" s="305" t="s">
        <v>3691</v>
      </c>
    </row>
    <row r="211" spans="1:5" ht="21">
      <c r="A211" s="303"/>
      <c r="B211" s="304"/>
      <c r="C211" s="303"/>
      <c r="D211" s="303"/>
      <c r="E211" s="305"/>
    </row>
    <row r="212" spans="1:5" ht="21">
      <c r="A212" s="303"/>
      <c r="B212" s="304"/>
      <c r="C212" s="303"/>
      <c r="D212" s="303"/>
      <c r="E212" s="305"/>
    </row>
    <row r="213" spans="1:5" ht="21">
      <c r="A213" s="303" t="s">
        <v>152</v>
      </c>
      <c r="B213" s="304" t="s">
        <v>78</v>
      </c>
      <c r="C213" s="306">
        <v>9500</v>
      </c>
      <c r="D213" s="303"/>
      <c r="E213" s="305">
        <v>61</v>
      </c>
    </row>
    <row r="214" spans="1:5" ht="21">
      <c r="A214" s="303" t="s">
        <v>3694</v>
      </c>
      <c r="B214" s="304" t="s">
        <v>78</v>
      </c>
      <c r="C214" s="306">
        <v>11000</v>
      </c>
      <c r="D214" s="303"/>
      <c r="E214" s="305">
        <v>61</v>
      </c>
    </row>
    <row r="215" spans="1:5" ht="21">
      <c r="A215" s="303" t="s">
        <v>3695</v>
      </c>
      <c r="B215" s="304" t="s">
        <v>78</v>
      </c>
      <c r="C215" s="306">
        <v>13000</v>
      </c>
      <c r="D215" s="303"/>
      <c r="E215" s="305">
        <v>61</v>
      </c>
    </row>
    <row r="216" spans="1:5" ht="21">
      <c r="A216" s="303" t="s">
        <v>3696</v>
      </c>
      <c r="B216" s="304" t="s">
        <v>78</v>
      </c>
      <c r="C216" s="306">
        <v>12000</v>
      </c>
      <c r="D216" s="303"/>
      <c r="E216" s="305">
        <v>61</v>
      </c>
    </row>
    <row r="217" spans="1:5" ht="21">
      <c r="A217" s="303" t="s">
        <v>3697</v>
      </c>
      <c r="B217" s="304" t="s">
        <v>78</v>
      </c>
      <c r="C217" s="306">
        <v>182000</v>
      </c>
      <c r="D217" s="303"/>
      <c r="E217" s="305">
        <v>61</v>
      </c>
    </row>
    <row r="218" spans="1:5" ht="21">
      <c r="A218" s="303"/>
      <c r="B218" s="304"/>
      <c r="C218" s="303"/>
      <c r="D218" s="303"/>
      <c r="E218" s="305"/>
    </row>
    <row r="219" spans="1:5" ht="21">
      <c r="A219" s="303"/>
      <c r="B219" s="304"/>
      <c r="C219" s="303"/>
      <c r="D219" s="303"/>
      <c r="E219" s="305"/>
    </row>
    <row r="220" spans="1:5" ht="21">
      <c r="A220" s="303" t="s">
        <v>147</v>
      </c>
      <c r="B220" s="304" t="s">
        <v>78</v>
      </c>
      <c r="C220" s="306">
        <v>10200</v>
      </c>
      <c r="D220" s="303"/>
      <c r="E220" s="305">
        <v>62</v>
      </c>
    </row>
    <row r="221" spans="1:5" ht="21">
      <c r="A221" s="303" t="s">
        <v>149</v>
      </c>
      <c r="B221" s="304" t="s">
        <v>78</v>
      </c>
      <c r="C221" s="306">
        <v>17600</v>
      </c>
      <c r="D221" s="303"/>
      <c r="E221" s="305">
        <v>62</v>
      </c>
    </row>
    <row r="222" spans="1:5" ht="21">
      <c r="A222" s="303"/>
      <c r="B222" s="304"/>
      <c r="C222" s="303"/>
      <c r="D222" s="303"/>
      <c r="E222" s="305"/>
    </row>
    <row r="223" spans="1:5" ht="21">
      <c r="A223" s="303" t="s">
        <v>404</v>
      </c>
      <c r="B223" s="304" t="s">
        <v>405</v>
      </c>
      <c r="C223" s="306">
        <v>10000</v>
      </c>
      <c r="D223" s="303"/>
      <c r="E223" s="305">
        <v>62</v>
      </c>
    </row>
    <row r="224" spans="1:5" ht="21">
      <c r="A224" s="303"/>
      <c r="B224" s="304"/>
      <c r="C224" s="303"/>
      <c r="D224" s="303"/>
      <c r="E224" s="305"/>
    </row>
    <row r="225" spans="1:5" ht="21">
      <c r="A225" s="303" t="s">
        <v>408</v>
      </c>
      <c r="B225" s="304" t="s">
        <v>405</v>
      </c>
      <c r="C225" s="306">
        <v>13000</v>
      </c>
      <c r="D225" s="303"/>
      <c r="E225" s="305">
        <v>62</v>
      </c>
    </row>
    <row r="226" spans="1:5" ht="21">
      <c r="A226" s="303"/>
      <c r="B226" s="304"/>
      <c r="C226" s="303"/>
      <c r="D226" s="303"/>
      <c r="E226" s="305"/>
    </row>
    <row r="227" spans="1:5" ht="21">
      <c r="A227" s="303"/>
      <c r="B227" s="304"/>
      <c r="C227" s="303"/>
      <c r="D227" s="303"/>
      <c r="E227" s="305"/>
    </row>
    <row r="228" spans="1:5" ht="21">
      <c r="A228" s="303" t="s">
        <v>128</v>
      </c>
      <c r="B228" s="304" t="s">
        <v>78</v>
      </c>
      <c r="C228" s="306">
        <v>19000</v>
      </c>
      <c r="D228" s="303"/>
      <c r="E228" s="305">
        <v>62</v>
      </c>
    </row>
    <row r="229" spans="1:5" ht="21">
      <c r="A229" s="303"/>
      <c r="B229" s="304"/>
      <c r="C229" s="303"/>
      <c r="D229" s="303"/>
      <c r="E229" s="305"/>
    </row>
    <row r="230" spans="1:5" ht="21">
      <c r="A230" s="303"/>
      <c r="B230" s="304"/>
      <c r="C230" s="303"/>
      <c r="D230" s="303"/>
      <c r="E230" s="305"/>
    </row>
    <row r="231" spans="1:5" ht="21">
      <c r="A231" s="303" t="s">
        <v>112</v>
      </c>
      <c r="B231" s="304" t="s">
        <v>78</v>
      </c>
      <c r="C231" s="306">
        <v>18000</v>
      </c>
      <c r="D231" s="303"/>
      <c r="E231" s="305">
        <v>62</v>
      </c>
    </row>
    <row r="232" spans="1:5" ht="21">
      <c r="A232" s="303"/>
      <c r="B232" s="304"/>
      <c r="C232" s="303"/>
      <c r="D232" s="303"/>
      <c r="E232" s="305"/>
    </row>
    <row r="233" spans="1:5" ht="21">
      <c r="A233" s="303" t="s">
        <v>124</v>
      </c>
      <c r="B233" s="304" t="s">
        <v>78</v>
      </c>
      <c r="C233" s="306">
        <v>268000</v>
      </c>
      <c r="D233" s="303"/>
      <c r="E233" s="305">
        <v>63</v>
      </c>
    </row>
    <row r="234" spans="1:5" ht="21">
      <c r="A234" s="303" t="s">
        <v>114</v>
      </c>
      <c r="B234" s="304" t="s">
        <v>78</v>
      </c>
      <c r="C234" s="306">
        <v>760000</v>
      </c>
      <c r="D234" s="303"/>
      <c r="E234" s="305">
        <v>63</v>
      </c>
    </row>
    <row r="235" spans="1:5" ht="21">
      <c r="A235" s="303" t="s">
        <v>118</v>
      </c>
      <c r="B235" s="304" t="s">
        <v>78</v>
      </c>
      <c r="C235" s="306">
        <v>1350000</v>
      </c>
      <c r="D235" s="303"/>
      <c r="E235" s="305">
        <v>63</v>
      </c>
    </row>
    <row r="236" spans="1:5" ht="21">
      <c r="A236" s="303" t="s">
        <v>122</v>
      </c>
      <c r="B236" s="304" t="s">
        <v>78</v>
      </c>
      <c r="C236" s="306">
        <v>2800000</v>
      </c>
      <c r="D236" s="303"/>
      <c r="E236" s="305">
        <v>63</v>
      </c>
    </row>
    <row r="237" spans="1:5" ht="21">
      <c r="A237" s="303"/>
      <c r="B237" s="304"/>
      <c r="C237" s="303"/>
      <c r="D237" s="303"/>
      <c r="E237" s="305"/>
    </row>
    <row r="238" spans="1:5" ht="21">
      <c r="A238" s="303"/>
      <c r="B238" s="304"/>
      <c r="C238" s="303"/>
      <c r="D238" s="303"/>
      <c r="E238" s="305"/>
    </row>
    <row r="239" spans="1:5" ht="21">
      <c r="A239" s="303" t="s">
        <v>324</v>
      </c>
      <c r="B239" s="304" t="s">
        <v>78</v>
      </c>
      <c r="C239" s="306">
        <v>200000</v>
      </c>
      <c r="D239" s="303"/>
      <c r="E239" s="305">
        <v>63</v>
      </c>
    </row>
    <row r="240" spans="1:5" ht="21">
      <c r="A240" s="303" t="s">
        <v>318</v>
      </c>
      <c r="B240" s="304" t="s">
        <v>78</v>
      </c>
      <c r="C240" s="306">
        <v>250000</v>
      </c>
      <c r="D240" s="303"/>
      <c r="E240" s="305">
        <v>63</v>
      </c>
    </row>
    <row r="241" spans="1:5" ht="21">
      <c r="A241" s="303" t="s">
        <v>322</v>
      </c>
      <c r="B241" s="304" t="s">
        <v>78</v>
      </c>
      <c r="C241" s="306">
        <v>430000</v>
      </c>
      <c r="D241" s="303"/>
      <c r="E241" s="305">
        <v>63</v>
      </c>
    </row>
    <row r="242" spans="1:5" ht="21">
      <c r="A242" s="303"/>
      <c r="B242" s="304"/>
      <c r="C242" s="303"/>
      <c r="D242" s="303"/>
      <c r="E242" s="305"/>
    </row>
    <row r="243" spans="1:5" ht="21">
      <c r="A243" s="303"/>
      <c r="B243" s="304"/>
      <c r="C243" s="303"/>
      <c r="D243" s="303"/>
      <c r="E243" s="305"/>
    </row>
    <row r="244" spans="1:5" ht="21">
      <c r="A244" s="303"/>
      <c r="B244" s="304"/>
      <c r="C244" s="303"/>
      <c r="D244" s="303"/>
      <c r="E244" s="305"/>
    </row>
    <row r="245" spans="1:5" ht="21">
      <c r="A245" s="303"/>
      <c r="B245" s="304"/>
      <c r="C245" s="303"/>
      <c r="D245" s="303"/>
      <c r="E245" s="305"/>
    </row>
    <row r="246" spans="1:5" ht="21">
      <c r="A246" s="303"/>
      <c r="B246" s="304"/>
      <c r="C246" s="303"/>
      <c r="D246" s="303"/>
      <c r="E246" s="305"/>
    </row>
    <row r="247" spans="1:5" ht="21">
      <c r="A247" s="303"/>
      <c r="B247" s="304"/>
      <c r="C247" s="303"/>
      <c r="D247" s="303"/>
      <c r="E247" s="305"/>
    </row>
    <row r="248" spans="1:5" ht="21">
      <c r="A248" s="303" t="s">
        <v>298</v>
      </c>
      <c r="B248" s="304" t="s">
        <v>78</v>
      </c>
      <c r="C248" s="306">
        <v>12000</v>
      </c>
      <c r="D248" s="303"/>
      <c r="E248" s="305">
        <v>64</v>
      </c>
    </row>
    <row r="249" spans="1:5" ht="21">
      <c r="A249" s="303"/>
      <c r="B249" s="304"/>
      <c r="C249" s="303"/>
      <c r="D249" s="303"/>
      <c r="E249" s="305"/>
    </row>
    <row r="250" spans="1:5" ht="21">
      <c r="A250" s="303" t="s">
        <v>293</v>
      </c>
      <c r="B250" s="304" t="s">
        <v>78</v>
      </c>
      <c r="C250" s="306">
        <v>28000</v>
      </c>
      <c r="D250" s="303"/>
      <c r="E250" s="305">
        <v>64</v>
      </c>
    </row>
    <row r="251" spans="1:5" ht="21">
      <c r="A251" s="303" t="s">
        <v>296</v>
      </c>
      <c r="B251" s="304" t="s">
        <v>78</v>
      </c>
      <c r="C251" s="306">
        <v>30000</v>
      </c>
      <c r="D251" s="303"/>
      <c r="E251" s="305">
        <v>64</v>
      </c>
    </row>
    <row r="252" spans="1:5" ht="21">
      <c r="A252" s="303" t="s">
        <v>291</v>
      </c>
      <c r="B252" s="304" t="s">
        <v>78</v>
      </c>
      <c r="C252" s="306">
        <v>24000</v>
      </c>
      <c r="D252" s="303"/>
      <c r="E252" s="305">
        <v>64</v>
      </c>
    </row>
    <row r="253" spans="1:5" ht="21">
      <c r="A253" s="303"/>
      <c r="B253" s="304"/>
      <c r="C253" s="303"/>
      <c r="D253" s="303"/>
      <c r="E253" s="305"/>
    </row>
    <row r="254" spans="1:5" ht="21">
      <c r="A254" s="303"/>
      <c r="B254" s="304"/>
      <c r="C254" s="303"/>
      <c r="D254" s="303"/>
      <c r="E254" s="305"/>
    </row>
    <row r="255" spans="1:5" ht="21">
      <c r="A255" s="303" t="s">
        <v>1100</v>
      </c>
      <c r="B255" s="304" t="s">
        <v>78</v>
      </c>
      <c r="C255" s="306">
        <v>27500</v>
      </c>
      <c r="D255" s="303"/>
      <c r="E255" s="305" t="s">
        <v>3709</v>
      </c>
    </row>
    <row r="256" spans="1:5" ht="21">
      <c r="A256" s="303" t="s">
        <v>787</v>
      </c>
      <c r="B256" s="304" t="s">
        <v>78</v>
      </c>
      <c r="C256" s="306">
        <v>57500</v>
      </c>
      <c r="D256" s="303"/>
      <c r="E256" s="305" t="s">
        <v>3709</v>
      </c>
    </row>
    <row r="257" spans="1:5" ht="21">
      <c r="A257" s="303" t="s">
        <v>1086</v>
      </c>
      <c r="B257" s="304" t="s">
        <v>78</v>
      </c>
      <c r="C257" s="306">
        <v>150000</v>
      </c>
      <c r="D257" s="303"/>
      <c r="E257" s="305" t="s">
        <v>3709</v>
      </c>
    </row>
    <row r="258" spans="1:5" ht="21">
      <c r="A258" s="303" t="s">
        <v>1288</v>
      </c>
      <c r="B258" s="304" t="s">
        <v>78</v>
      </c>
      <c r="C258" s="306">
        <v>260000</v>
      </c>
      <c r="D258" s="303"/>
      <c r="E258" s="305" t="s">
        <v>3709</v>
      </c>
    </row>
    <row r="259" spans="1:5" ht="21">
      <c r="A259" s="303" t="s">
        <v>1098</v>
      </c>
      <c r="B259" s="304" t="s">
        <v>78</v>
      </c>
      <c r="C259" s="306">
        <v>385000</v>
      </c>
      <c r="D259" s="303"/>
      <c r="E259" s="305" t="s">
        <v>3709</v>
      </c>
    </row>
    <row r="260" spans="1:5" ht="21">
      <c r="A260" s="303" t="s">
        <v>1299</v>
      </c>
      <c r="B260" s="304" t="s">
        <v>78</v>
      </c>
      <c r="C260" s="306">
        <v>500000</v>
      </c>
      <c r="D260" s="303"/>
      <c r="E260" s="305" t="s">
        <v>3709</v>
      </c>
    </row>
    <row r="261" spans="1:5" ht="21">
      <c r="A261" s="303" t="s">
        <v>782</v>
      </c>
      <c r="B261" s="304" t="s">
        <v>78</v>
      </c>
      <c r="C261" s="306">
        <v>670000</v>
      </c>
      <c r="D261" s="303"/>
      <c r="E261" s="305" t="s">
        <v>3709</v>
      </c>
    </row>
    <row r="262" spans="1:5" ht="21">
      <c r="A262" s="303" t="s">
        <v>1290</v>
      </c>
      <c r="B262" s="304" t="s">
        <v>78</v>
      </c>
      <c r="C262" s="306">
        <v>1250000</v>
      </c>
      <c r="D262" s="303"/>
      <c r="E262" s="305" t="s">
        <v>3709</v>
      </c>
    </row>
    <row r="263" spans="1:5" ht="21">
      <c r="A263" s="303" t="s">
        <v>1295</v>
      </c>
      <c r="B263" s="304" t="s">
        <v>78</v>
      </c>
      <c r="C263" s="306">
        <v>1700000</v>
      </c>
      <c r="D263" s="303"/>
      <c r="E263" s="305" t="s">
        <v>3709</v>
      </c>
    </row>
    <row r="264" spans="1:5" ht="21">
      <c r="A264" s="303" t="s">
        <v>1102</v>
      </c>
      <c r="B264" s="304" t="s">
        <v>78</v>
      </c>
      <c r="C264" s="306">
        <v>2235000</v>
      </c>
      <c r="D264" s="303"/>
      <c r="E264" s="305" t="s">
        <v>3709</v>
      </c>
    </row>
    <row r="265" spans="1:5" ht="21">
      <c r="A265" s="303" t="s">
        <v>1104</v>
      </c>
      <c r="B265" s="304" t="s">
        <v>78</v>
      </c>
      <c r="C265" s="306">
        <v>3350000</v>
      </c>
      <c r="D265" s="303"/>
      <c r="E265" s="305" t="s">
        <v>3709</v>
      </c>
    </row>
    <row r="266" spans="1:5" ht="21">
      <c r="A266" s="303"/>
      <c r="B266" s="304"/>
      <c r="C266" s="303"/>
      <c r="D266" s="303"/>
      <c r="E266" s="305"/>
    </row>
    <row r="267" spans="1:5" ht="21">
      <c r="A267" s="303"/>
      <c r="B267" s="304"/>
      <c r="C267" s="303"/>
      <c r="D267" s="303"/>
      <c r="E267" s="305"/>
    </row>
    <row r="268" spans="1:5" ht="21">
      <c r="A268" s="303"/>
      <c r="B268" s="304"/>
      <c r="C268" s="303"/>
      <c r="D268" s="303"/>
      <c r="E268" s="305"/>
    </row>
    <row r="269" spans="1:5" ht="21">
      <c r="A269" s="303"/>
      <c r="B269" s="304"/>
      <c r="C269" s="303"/>
      <c r="D269" s="303"/>
      <c r="E269" s="305"/>
    </row>
    <row r="270" spans="1:5" ht="21">
      <c r="A270" s="303"/>
      <c r="B270" s="304"/>
      <c r="C270" s="303"/>
      <c r="D270" s="303"/>
      <c r="E270" s="305"/>
    </row>
    <row r="271" spans="1:5" ht="21">
      <c r="A271" s="303" t="s">
        <v>27</v>
      </c>
      <c r="B271" s="304" t="s">
        <v>28</v>
      </c>
      <c r="C271" s="306">
        <v>527000</v>
      </c>
      <c r="D271" s="303"/>
      <c r="E271" s="305">
        <v>66</v>
      </c>
    </row>
    <row r="272" spans="1:5" ht="21">
      <c r="A272" s="303"/>
      <c r="B272" s="304"/>
      <c r="C272" s="303"/>
      <c r="D272" s="303"/>
      <c r="E272" s="305"/>
    </row>
    <row r="273" spans="1:5" ht="21">
      <c r="A273" s="303" t="s">
        <v>31</v>
      </c>
      <c r="B273" s="304" t="s">
        <v>28</v>
      </c>
      <c r="C273" s="306">
        <v>743000</v>
      </c>
      <c r="D273" s="303"/>
      <c r="E273" s="305">
        <v>66</v>
      </c>
    </row>
    <row r="274" spans="1:5" ht="21">
      <c r="A274" s="303"/>
      <c r="B274" s="304"/>
      <c r="C274" s="303"/>
      <c r="D274" s="303"/>
      <c r="E274" s="305"/>
    </row>
    <row r="275" spans="1:5" ht="21">
      <c r="A275" s="303" t="s">
        <v>33</v>
      </c>
      <c r="B275" s="304" t="s">
        <v>28</v>
      </c>
      <c r="C275" s="306">
        <v>931000</v>
      </c>
      <c r="D275" s="303"/>
      <c r="E275" s="305">
        <v>66</v>
      </c>
    </row>
    <row r="276" spans="1:5" ht="21">
      <c r="A276" s="303"/>
      <c r="B276" s="304"/>
      <c r="C276" s="303"/>
      <c r="D276" s="303"/>
      <c r="E276" s="305"/>
    </row>
    <row r="277" spans="1:5" ht="21">
      <c r="A277" s="303"/>
      <c r="B277" s="304"/>
      <c r="C277" s="303"/>
      <c r="D277" s="303"/>
      <c r="E277" s="305"/>
    </row>
    <row r="278" spans="1:5" ht="21">
      <c r="A278" s="303"/>
      <c r="B278" s="304"/>
      <c r="C278" s="303"/>
      <c r="D278" s="303"/>
      <c r="E278" s="305"/>
    </row>
    <row r="279" spans="1:5" ht="21">
      <c r="A279" s="303"/>
      <c r="B279" s="304"/>
      <c r="C279" s="303"/>
      <c r="D279" s="303"/>
      <c r="E279" s="305"/>
    </row>
    <row r="280" spans="1:5" ht="21">
      <c r="A280" s="303"/>
      <c r="B280" s="304"/>
      <c r="C280" s="303"/>
      <c r="D280" s="303"/>
      <c r="E280" s="305"/>
    </row>
    <row r="281" spans="1:5" ht="21">
      <c r="A281" s="303" t="s">
        <v>541</v>
      </c>
      <c r="B281" s="304" t="s">
        <v>28</v>
      </c>
      <c r="C281" s="306">
        <v>662000</v>
      </c>
      <c r="D281" s="303"/>
      <c r="E281" s="305">
        <v>66</v>
      </c>
    </row>
    <row r="282" spans="1:5" ht="21">
      <c r="A282" s="303" t="s">
        <v>539</v>
      </c>
      <c r="B282" s="304" t="s">
        <v>28</v>
      </c>
      <c r="C282" s="306">
        <v>729000</v>
      </c>
      <c r="D282" s="303"/>
      <c r="E282" s="305">
        <v>67</v>
      </c>
    </row>
    <row r="283" spans="1:5" ht="21">
      <c r="A283" s="303"/>
      <c r="B283" s="304"/>
      <c r="C283" s="303"/>
      <c r="D283" s="303"/>
      <c r="E283" s="305"/>
    </row>
    <row r="284" spans="1:5" ht="21">
      <c r="A284" s="303"/>
      <c r="B284" s="304"/>
      <c r="C284" s="303"/>
      <c r="D284" s="303"/>
      <c r="E284" s="305"/>
    </row>
    <row r="285" spans="1:5" ht="21">
      <c r="A285" s="303"/>
      <c r="B285" s="304"/>
      <c r="C285" s="303"/>
      <c r="D285" s="303"/>
      <c r="E285" s="305"/>
    </row>
    <row r="286" spans="1:5" ht="21">
      <c r="A286" s="303" t="s">
        <v>549</v>
      </c>
      <c r="B286" s="304" t="s">
        <v>28</v>
      </c>
      <c r="C286" s="306">
        <v>575000</v>
      </c>
      <c r="D286" s="303"/>
      <c r="E286" s="305">
        <v>67</v>
      </c>
    </row>
    <row r="287" spans="1:5" ht="21">
      <c r="A287" s="303" t="s">
        <v>553</v>
      </c>
      <c r="B287" s="304" t="s">
        <v>28</v>
      </c>
      <c r="C287" s="306">
        <v>715000</v>
      </c>
      <c r="D287" s="303"/>
      <c r="E287" s="305">
        <v>67</v>
      </c>
    </row>
    <row r="288" spans="1:5" ht="21">
      <c r="A288" s="303" t="s">
        <v>545</v>
      </c>
      <c r="B288" s="304" t="s">
        <v>28</v>
      </c>
      <c r="C288" s="306">
        <v>814000</v>
      </c>
      <c r="D288" s="303"/>
      <c r="E288" s="305">
        <v>67</v>
      </c>
    </row>
    <row r="289" spans="1:5" ht="21">
      <c r="A289" s="303"/>
      <c r="B289" s="304"/>
      <c r="C289" s="303"/>
      <c r="D289" s="303"/>
      <c r="E289" s="305"/>
    </row>
    <row r="290" spans="1:5" ht="21">
      <c r="A290" s="303"/>
      <c r="B290" s="304"/>
      <c r="C290" s="303"/>
      <c r="D290" s="303"/>
      <c r="E290" s="305"/>
    </row>
    <row r="291" spans="1:5" ht="21">
      <c r="A291" s="303"/>
      <c r="B291" s="304"/>
      <c r="C291" s="303"/>
      <c r="D291" s="303"/>
      <c r="E291" s="305"/>
    </row>
    <row r="292" spans="1:5" ht="21">
      <c r="A292" s="303" t="s">
        <v>557</v>
      </c>
      <c r="B292" s="304" t="s">
        <v>28</v>
      </c>
      <c r="C292" s="306">
        <v>829000</v>
      </c>
      <c r="D292" s="303"/>
      <c r="E292" s="305">
        <v>67</v>
      </c>
    </row>
    <row r="293" spans="1:5" ht="21">
      <c r="A293" s="303" t="s">
        <v>555</v>
      </c>
      <c r="B293" s="304" t="s">
        <v>28</v>
      </c>
      <c r="C293" s="306">
        <v>957000</v>
      </c>
      <c r="D293" s="303"/>
      <c r="E293" s="305">
        <v>68</v>
      </c>
    </row>
    <row r="294" spans="1:5" ht="21">
      <c r="A294" s="303"/>
      <c r="B294" s="304"/>
      <c r="C294" s="303"/>
      <c r="D294" s="303"/>
      <c r="E294" s="305"/>
    </row>
    <row r="295" spans="1:5" ht="21">
      <c r="A295" s="303"/>
      <c r="B295" s="304"/>
      <c r="C295" s="303"/>
      <c r="D295" s="303"/>
      <c r="E295" s="305"/>
    </row>
    <row r="296" spans="1:5" ht="21">
      <c r="A296" s="303" t="s">
        <v>586</v>
      </c>
      <c r="B296" s="304" t="s">
        <v>562</v>
      </c>
      <c r="C296" s="306">
        <v>16000</v>
      </c>
      <c r="D296" s="303"/>
      <c r="E296" s="305">
        <v>68</v>
      </c>
    </row>
    <row r="297" spans="1:5" ht="21">
      <c r="A297" s="303" t="s">
        <v>582</v>
      </c>
      <c r="B297" s="304" t="s">
        <v>562</v>
      </c>
      <c r="C297" s="306">
        <v>34000</v>
      </c>
      <c r="D297" s="303"/>
      <c r="E297" s="305">
        <v>68</v>
      </c>
    </row>
    <row r="298" spans="1:5" ht="21">
      <c r="A298" s="303"/>
      <c r="B298" s="304"/>
      <c r="C298" s="303"/>
      <c r="D298" s="303"/>
      <c r="E298" s="305"/>
    </row>
    <row r="299" spans="1:5" ht="21">
      <c r="A299" s="303"/>
      <c r="B299" s="304"/>
      <c r="C299" s="303"/>
      <c r="D299" s="303"/>
      <c r="E299" s="305"/>
    </row>
    <row r="300" spans="1:5" ht="21">
      <c r="A300" s="303"/>
      <c r="B300" s="304"/>
      <c r="C300" s="303"/>
      <c r="D300" s="303"/>
      <c r="E300" s="305"/>
    </row>
    <row r="301" spans="1:5" ht="21">
      <c r="A301" s="303"/>
      <c r="B301" s="304"/>
      <c r="C301" s="303"/>
      <c r="D301" s="303"/>
      <c r="E301" s="305"/>
    </row>
    <row r="302" spans="1:5" ht="21">
      <c r="A302" s="303" t="s">
        <v>561</v>
      </c>
      <c r="B302" s="304" t="s">
        <v>562</v>
      </c>
      <c r="C302" s="306">
        <v>982000</v>
      </c>
      <c r="D302" s="303"/>
      <c r="E302" s="305">
        <v>68</v>
      </c>
    </row>
    <row r="303" spans="1:5" ht="21">
      <c r="A303" s="303"/>
      <c r="B303" s="304"/>
      <c r="C303" s="303"/>
      <c r="D303" s="303"/>
      <c r="E303" s="305"/>
    </row>
    <row r="304" spans="1:5" ht="15.75" customHeight="1">
      <c r="A304" s="307"/>
      <c r="B304" s="308"/>
      <c r="C304" s="307"/>
      <c r="D304" s="307"/>
      <c r="E304" s="309"/>
    </row>
    <row r="305" spans="1:5" ht="21">
      <c r="A305" s="301"/>
      <c r="B305" s="301"/>
      <c r="C305" s="301"/>
      <c r="D305" s="301"/>
      <c r="E305" s="302"/>
    </row>
    <row r="306" spans="1:5" ht="21">
      <c r="A306" s="303"/>
      <c r="B306" s="304"/>
      <c r="C306" s="303"/>
      <c r="D306" s="303"/>
      <c r="E306" s="305"/>
    </row>
    <row r="307" spans="1:5" ht="21">
      <c r="A307" s="303"/>
      <c r="B307" s="304"/>
      <c r="C307" s="303"/>
      <c r="D307" s="303"/>
      <c r="E307" s="305"/>
    </row>
    <row r="308" spans="1:5" ht="21">
      <c r="A308" s="303"/>
      <c r="B308" s="304"/>
      <c r="C308" s="303"/>
      <c r="D308" s="303"/>
      <c r="E308" s="305"/>
    </row>
    <row r="309" spans="1:5" ht="21">
      <c r="A309" s="303" t="s">
        <v>565</v>
      </c>
      <c r="B309" s="304" t="s">
        <v>562</v>
      </c>
      <c r="C309" s="306">
        <v>1075000</v>
      </c>
      <c r="D309" s="303"/>
      <c r="E309" s="305">
        <v>68</v>
      </c>
    </row>
    <row r="310" spans="1:5" ht="21">
      <c r="A310" s="303"/>
      <c r="B310" s="304"/>
      <c r="C310" s="303"/>
      <c r="D310" s="303"/>
      <c r="E310" s="305"/>
    </row>
    <row r="311" spans="1:5" ht="21">
      <c r="A311" s="303"/>
      <c r="B311" s="304"/>
      <c r="C311" s="303"/>
      <c r="D311" s="303"/>
      <c r="E311" s="305"/>
    </row>
    <row r="312" spans="1:5" ht="21">
      <c r="A312" s="303" t="s">
        <v>570</v>
      </c>
      <c r="B312" s="304" t="s">
        <v>562</v>
      </c>
      <c r="C312" s="306">
        <v>1375000</v>
      </c>
      <c r="D312" s="303"/>
      <c r="E312" s="305">
        <v>68</v>
      </c>
    </row>
    <row r="313" spans="1:5" ht="21">
      <c r="A313" s="303"/>
      <c r="B313" s="304"/>
      <c r="C313" s="303"/>
      <c r="D313" s="303"/>
      <c r="E313" s="305"/>
    </row>
    <row r="314" spans="1:5" ht="21">
      <c r="A314" s="303"/>
      <c r="B314" s="304"/>
      <c r="C314" s="303"/>
      <c r="D314" s="303"/>
      <c r="E314" s="305"/>
    </row>
    <row r="315" spans="1:5" ht="21">
      <c r="A315" s="303"/>
      <c r="B315" s="304"/>
      <c r="C315" s="303"/>
      <c r="D315" s="303"/>
      <c r="E315" s="305"/>
    </row>
    <row r="316" spans="1:5" ht="21">
      <c r="A316" s="303" t="s">
        <v>576</v>
      </c>
      <c r="B316" s="304" t="s">
        <v>562</v>
      </c>
      <c r="C316" s="306">
        <v>1920000</v>
      </c>
      <c r="D316" s="303"/>
      <c r="E316" s="305">
        <v>69</v>
      </c>
    </row>
    <row r="317" spans="1:5" ht="21">
      <c r="A317" s="303" t="s">
        <v>574</v>
      </c>
      <c r="B317" s="304" t="s">
        <v>562</v>
      </c>
      <c r="C317" s="306">
        <v>1980000</v>
      </c>
      <c r="D317" s="303"/>
      <c r="E317" s="305">
        <v>69</v>
      </c>
    </row>
    <row r="318" spans="1:5" ht="21">
      <c r="A318" s="303" t="s">
        <v>580</v>
      </c>
      <c r="B318" s="304" t="s">
        <v>562</v>
      </c>
      <c r="C318" s="306">
        <v>2500000</v>
      </c>
      <c r="D318" s="303"/>
      <c r="E318" s="305">
        <v>69</v>
      </c>
    </row>
    <row r="319" spans="1:5" ht="21">
      <c r="A319" s="303"/>
      <c r="B319" s="304"/>
      <c r="C319" s="303"/>
      <c r="D319" s="303"/>
      <c r="E319" s="305"/>
    </row>
    <row r="320" spans="1:5" ht="21">
      <c r="A320" s="303"/>
      <c r="B320" s="304"/>
      <c r="C320" s="303"/>
      <c r="D320" s="303"/>
      <c r="E320" s="305"/>
    </row>
    <row r="321" spans="1:5" ht="21">
      <c r="A321" s="303"/>
      <c r="B321" s="304"/>
      <c r="C321" s="303"/>
      <c r="D321" s="303"/>
      <c r="E321" s="305"/>
    </row>
    <row r="322" spans="1:5" ht="21">
      <c r="A322" s="303"/>
      <c r="B322" s="304"/>
      <c r="C322" s="303"/>
      <c r="D322" s="303"/>
      <c r="E322" s="305"/>
    </row>
    <row r="323" spans="1:5" ht="21">
      <c r="A323" s="303" t="s">
        <v>3734</v>
      </c>
      <c r="B323" s="304" t="s">
        <v>28</v>
      </c>
      <c r="C323" s="306">
        <v>950000</v>
      </c>
      <c r="D323" s="303"/>
      <c r="E323" s="305">
        <v>69</v>
      </c>
    </row>
    <row r="324" spans="1:5" ht="21">
      <c r="A324" s="303"/>
      <c r="B324" s="304"/>
      <c r="C324" s="303"/>
      <c r="D324" s="303"/>
      <c r="E324" s="305"/>
    </row>
    <row r="325" spans="1:5" ht="21">
      <c r="A325" s="303"/>
      <c r="B325" s="304"/>
      <c r="C325" s="303"/>
      <c r="D325" s="303"/>
      <c r="E325" s="305"/>
    </row>
    <row r="326" spans="1:5" ht="21">
      <c r="A326" s="303"/>
      <c r="B326" s="304"/>
      <c r="C326" s="303"/>
      <c r="D326" s="303"/>
      <c r="E326" s="305"/>
    </row>
    <row r="327" spans="1:5" ht="21">
      <c r="A327" s="303" t="s">
        <v>3737</v>
      </c>
      <c r="B327" s="304" t="s">
        <v>28</v>
      </c>
      <c r="C327" s="306">
        <v>2119000</v>
      </c>
      <c r="D327" s="303"/>
      <c r="E327" s="305">
        <v>70</v>
      </c>
    </row>
    <row r="328" spans="1:5" ht="21">
      <c r="A328" s="303" t="s">
        <v>3738</v>
      </c>
      <c r="B328" s="304" t="s">
        <v>28</v>
      </c>
      <c r="C328" s="306">
        <v>2400000</v>
      </c>
      <c r="D328" s="303"/>
      <c r="E328" s="305">
        <v>70</v>
      </c>
    </row>
    <row r="329" spans="1:5" ht="21">
      <c r="A329" s="303"/>
      <c r="B329" s="304"/>
      <c r="C329" s="303"/>
      <c r="D329" s="303"/>
      <c r="E329" s="305"/>
    </row>
    <row r="330" spans="1:5" ht="21">
      <c r="A330" s="303"/>
      <c r="B330" s="304"/>
      <c r="C330" s="303"/>
      <c r="D330" s="303"/>
      <c r="E330" s="305"/>
    </row>
    <row r="331" spans="1:5" ht="21">
      <c r="A331" s="303"/>
      <c r="B331" s="304"/>
      <c r="C331" s="303"/>
      <c r="D331" s="303"/>
      <c r="E331" s="305"/>
    </row>
    <row r="332" spans="1:5" ht="21">
      <c r="A332" s="303" t="s">
        <v>3741</v>
      </c>
      <c r="B332" s="304" t="s">
        <v>28</v>
      </c>
      <c r="C332" s="306">
        <v>1288000</v>
      </c>
      <c r="D332" s="303"/>
      <c r="E332" s="305">
        <v>70</v>
      </c>
    </row>
    <row r="333" spans="1:5" ht="21">
      <c r="A333" s="303"/>
      <c r="B333" s="304"/>
      <c r="C333" s="303"/>
      <c r="D333" s="303"/>
      <c r="E333" s="305"/>
    </row>
    <row r="334" spans="1:5" ht="21">
      <c r="A334" s="303"/>
      <c r="B334" s="304" t="s">
        <v>28</v>
      </c>
      <c r="C334" s="303"/>
      <c r="D334" s="303"/>
      <c r="E334" s="305"/>
    </row>
    <row r="335" spans="1:5" ht="21">
      <c r="A335" s="303"/>
      <c r="B335" s="304"/>
      <c r="C335" s="303"/>
      <c r="D335" s="303"/>
      <c r="E335" s="305"/>
    </row>
    <row r="336" spans="1:5" ht="21">
      <c r="A336" s="303"/>
      <c r="B336" s="304"/>
      <c r="C336" s="303"/>
      <c r="D336" s="303"/>
      <c r="E336" s="305"/>
    </row>
    <row r="337" spans="1:5" ht="21">
      <c r="A337" s="303"/>
      <c r="B337" s="304"/>
      <c r="C337" s="303"/>
      <c r="D337" s="303"/>
      <c r="E337" s="305"/>
    </row>
    <row r="338" spans="1:5" ht="21">
      <c r="A338" s="303" t="s">
        <v>617</v>
      </c>
      <c r="B338" s="304" t="s">
        <v>28</v>
      </c>
      <c r="C338" s="306">
        <v>1280000</v>
      </c>
      <c r="D338" s="303"/>
      <c r="E338" s="305">
        <v>71</v>
      </c>
    </row>
    <row r="339" spans="1:5" ht="21">
      <c r="A339" s="303" t="s">
        <v>623</v>
      </c>
      <c r="B339" s="304" t="s">
        <v>28</v>
      </c>
      <c r="C339" s="306">
        <v>1490000</v>
      </c>
      <c r="D339" s="303"/>
      <c r="E339" s="305">
        <v>71</v>
      </c>
    </row>
    <row r="340" spans="1:5" ht="21">
      <c r="A340" s="303"/>
      <c r="B340" s="304"/>
      <c r="C340" s="303"/>
      <c r="D340" s="303"/>
      <c r="E340" s="305"/>
    </row>
    <row r="341" spans="1:5" ht="21">
      <c r="A341" s="303"/>
      <c r="B341" s="304"/>
      <c r="C341" s="303"/>
      <c r="D341" s="303"/>
      <c r="E341" s="305"/>
    </row>
    <row r="342" spans="1:5" ht="21">
      <c r="A342" s="303"/>
      <c r="B342" s="304"/>
      <c r="C342" s="303"/>
      <c r="D342" s="303"/>
      <c r="E342" s="305"/>
    </row>
    <row r="343" spans="1:5" ht="15.75" customHeight="1">
      <c r="A343" s="307"/>
      <c r="B343" s="308"/>
      <c r="C343" s="307"/>
      <c r="D343" s="307"/>
      <c r="E343" s="309"/>
    </row>
    <row r="344" spans="1:5" ht="21">
      <c r="A344" s="303"/>
      <c r="B344" s="304"/>
      <c r="C344" s="303"/>
      <c r="D344" s="303"/>
      <c r="E344" s="305"/>
    </row>
    <row r="345" spans="1:5" ht="21">
      <c r="A345" s="303"/>
      <c r="B345" s="304"/>
      <c r="C345" s="303"/>
      <c r="D345" s="303"/>
      <c r="E345" s="305"/>
    </row>
    <row r="346" spans="1:5" ht="21">
      <c r="A346" s="303"/>
      <c r="B346" s="304"/>
      <c r="C346" s="303"/>
      <c r="D346" s="303"/>
      <c r="E346" s="305"/>
    </row>
    <row r="347" spans="1:5" ht="21">
      <c r="A347" s="303"/>
      <c r="B347" s="304"/>
      <c r="C347" s="303"/>
      <c r="D347" s="303"/>
      <c r="E347" s="305"/>
    </row>
    <row r="348" spans="1:5" ht="21">
      <c r="A348" s="303" t="s">
        <v>629</v>
      </c>
      <c r="B348" s="304" t="s">
        <v>28</v>
      </c>
      <c r="C348" s="306">
        <v>1290000</v>
      </c>
      <c r="D348" s="303"/>
      <c r="E348" s="305">
        <v>71</v>
      </c>
    </row>
    <row r="349" spans="1:5" ht="21">
      <c r="A349" s="303" t="s">
        <v>633</v>
      </c>
      <c r="B349" s="304" t="s">
        <v>28</v>
      </c>
      <c r="C349" s="306">
        <v>1570000</v>
      </c>
      <c r="D349" s="303"/>
      <c r="E349" s="305">
        <v>71</v>
      </c>
    </row>
    <row r="350" spans="1:5" ht="21">
      <c r="A350" s="303"/>
      <c r="B350" s="304"/>
      <c r="C350" s="303"/>
      <c r="D350" s="303"/>
      <c r="E350" s="305"/>
    </row>
    <row r="351" spans="1:5" ht="21">
      <c r="A351" s="303"/>
      <c r="B351" s="304"/>
      <c r="C351" s="303"/>
      <c r="D351" s="303"/>
      <c r="E351" s="305"/>
    </row>
    <row r="352" spans="1:5" ht="21">
      <c r="A352" s="303"/>
      <c r="B352" s="304"/>
      <c r="C352" s="303"/>
      <c r="D352" s="303"/>
      <c r="E352" s="305"/>
    </row>
    <row r="353" spans="1:5" ht="21">
      <c r="A353" s="303" t="s">
        <v>615</v>
      </c>
      <c r="B353" s="304" t="s">
        <v>28</v>
      </c>
      <c r="C353" s="306">
        <v>2000000</v>
      </c>
      <c r="D353" s="303"/>
      <c r="E353" s="305">
        <v>71</v>
      </c>
    </row>
    <row r="354" spans="1:5" ht="21">
      <c r="A354" s="303"/>
      <c r="B354" s="304"/>
      <c r="C354" s="303"/>
      <c r="D354" s="303"/>
      <c r="E354" s="305"/>
    </row>
    <row r="355" spans="1:5" ht="21">
      <c r="A355" s="303"/>
      <c r="B355" s="304"/>
      <c r="C355" s="303"/>
      <c r="D355" s="303"/>
      <c r="E355" s="305"/>
    </row>
    <row r="356" spans="1:5" ht="21">
      <c r="A356" s="303"/>
      <c r="B356" s="304"/>
      <c r="C356" s="303"/>
      <c r="D356" s="303"/>
      <c r="E356" s="305"/>
    </row>
    <row r="357" spans="1:5" ht="21">
      <c r="A357" s="303" t="s">
        <v>611</v>
      </c>
      <c r="B357" s="304" t="s">
        <v>28</v>
      </c>
      <c r="C357" s="306">
        <v>1000000</v>
      </c>
      <c r="D357" s="303"/>
      <c r="E357" s="305">
        <v>72</v>
      </c>
    </row>
    <row r="358" spans="1:5" ht="21">
      <c r="A358" s="303"/>
      <c r="B358" s="304"/>
      <c r="C358" s="303"/>
      <c r="D358" s="303"/>
      <c r="E358" s="305"/>
    </row>
    <row r="359" spans="1:5" ht="21">
      <c r="A359" s="303" t="s">
        <v>514</v>
      </c>
      <c r="B359" s="304" t="s">
        <v>28</v>
      </c>
      <c r="C359" s="306">
        <v>40800</v>
      </c>
      <c r="D359" s="303"/>
      <c r="E359" s="305">
        <v>72</v>
      </c>
    </row>
    <row r="360" spans="1:5" ht="21">
      <c r="A360" s="303" t="s">
        <v>518</v>
      </c>
      <c r="B360" s="304" t="s">
        <v>28</v>
      </c>
      <c r="C360" s="306">
        <v>48500</v>
      </c>
      <c r="D360" s="303"/>
      <c r="E360" s="305">
        <v>72</v>
      </c>
    </row>
    <row r="361" spans="1:5" ht="21">
      <c r="A361" s="303" t="s">
        <v>522</v>
      </c>
      <c r="B361" s="304" t="s">
        <v>28</v>
      </c>
      <c r="C361" s="306">
        <v>50500</v>
      </c>
      <c r="D361" s="303"/>
      <c r="E361" s="305">
        <v>72</v>
      </c>
    </row>
    <row r="362" spans="1:5" ht="21">
      <c r="A362" s="303" t="s">
        <v>524</v>
      </c>
      <c r="B362" s="304" t="s">
        <v>28</v>
      </c>
      <c r="C362" s="306">
        <v>82000</v>
      </c>
      <c r="D362" s="303"/>
      <c r="E362" s="305">
        <v>72</v>
      </c>
    </row>
    <row r="363" spans="1:5" ht="21">
      <c r="A363" s="303" t="s">
        <v>528</v>
      </c>
      <c r="B363" s="304" t="s">
        <v>28</v>
      </c>
      <c r="C363" s="306">
        <v>150000</v>
      </c>
      <c r="D363" s="303"/>
      <c r="E363" s="305">
        <v>72</v>
      </c>
    </row>
    <row r="364" spans="1:5" ht="21">
      <c r="A364" s="303"/>
      <c r="B364" s="304"/>
      <c r="C364" s="303"/>
      <c r="D364" s="303"/>
      <c r="E364" s="305"/>
    </row>
    <row r="365" spans="1:5" ht="21">
      <c r="A365" s="303"/>
      <c r="B365" s="304"/>
      <c r="C365" s="303"/>
      <c r="D365" s="303"/>
      <c r="E365" s="305"/>
    </row>
    <row r="366" spans="1:5" ht="21">
      <c r="A366" s="303" t="s">
        <v>597</v>
      </c>
      <c r="B366" s="304" t="s">
        <v>28</v>
      </c>
      <c r="C366" s="306">
        <v>1330000</v>
      </c>
      <c r="D366" s="303"/>
      <c r="E366" s="305">
        <v>73</v>
      </c>
    </row>
    <row r="367" spans="1:5" ht="21">
      <c r="A367" s="303" t="s">
        <v>3748</v>
      </c>
      <c r="B367" s="304" t="s">
        <v>28</v>
      </c>
      <c r="C367" s="306">
        <v>1750000</v>
      </c>
      <c r="D367" s="303"/>
      <c r="E367" s="305">
        <v>73</v>
      </c>
    </row>
    <row r="368" spans="1:5" ht="21">
      <c r="A368" s="303" t="s">
        <v>3750</v>
      </c>
      <c r="B368" s="304" t="s">
        <v>28</v>
      </c>
      <c r="C368" s="306">
        <v>2799000</v>
      </c>
      <c r="D368" s="303"/>
      <c r="E368" s="305">
        <v>73</v>
      </c>
    </row>
    <row r="369" spans="1:5" ht="21">
      <c r="A369" s="303" t="s">
        <v>3751</v>
      </c>
      <c r="B369" s="304" t="s">
        <v>28</v>
      </c>
      <c r="C369" s="306">
        <v>3779000</v>
      </c>
      <c r="D369" s="303"/>
      <c r="E369" s="305">
        <v>73</v>
      </c>
    </row>
    <row r="370" spans="1:5" ht="21">
      <c r="A370" s="303" t="s">
        <v>3752</v>
      </c>
      <c r="B370" s="304" t="s">
        <v>28</v>
      </c>
      <c r="C370" s="306">
        <v>4249000</v>
      </c>
      <c r="D370" s="303"/>
      <c r="E370" s="305">
        <v>73</v>
      </c>
    </row>
    <row r="371" spans="1:5" ht="21">
      <c r="A371" s="303"/>
      <c r="B371" s="304"/>
      <c r="C371" s="303"/>
      <c r="D371" s="303"/>
      <c r="E371" s="305"/>
    </row>
    <row r="372" spans="1:5" ht="21">
      <c r="A372" s="303"/>
      <c r="B372" s="304"/>
      <c r="C372" s="303"/>
      <c r="D372" s="303"/>
      <c r="E372" s="305"/>
    </row>
    <row r="373" spans="1:5" ht="21">
      <c r="A373" s="303"/>
      <c r="B373" s="304"/>
      <c r="C373" s="303"/>
      <c r="D373" s="303"/>
      <c r="E373" s="305"/>
    </row>
    <row r="374" spans="1:5" ht="21">
      <c r="A374" s="303" t="s">
        <v>993</v>
      </c>
      <c r="B374" s="304" t="s">
        <v>48</v>
      </c>
      <c r="C374" s="306">
        <v>15000</v>
      </c>
      <c r="D374" s="303"/>
      <c r="E374" s="305">
        <v>74</v>
      </c>
    </row>
    <row r="375" spans="1:5" ht="21">
      <c r="A375" s="303"/>
      <c r="B375" s="304"/>
      <c r="C375" s="303"/>
      <c r="D375" s="303"/>
      <c r="E375" s="305"/>
    </row>
    <row r="376" spans="1:5" ht="21">
      <c r="A376" s="303"/>
      <c r="B376" s="304"/>
      <c r="C376" s="303"/>
      <c r="D376" s="303"/>
      <c r="E376" s="305"/>
    </row>
    <row r="377" spans="1:5" ht="21">
      <c r="A377" s="303" t="s">
        <v>1310</v>
      </c>
      <c r="B377" s="304" t="s">
        <v>48</v>
      </c>
      <c r="C377" s="306">
        <v>5500</v>
      </c>
      <c r="D377" s="303"/>
      <c r="E377" s="305">
        <v>74</v>
      </c>
    </row>
    <row r="378" spans="1:5" ht="21">
      <c r="A378" s="303" t="s">
        <v>1312</v>
      </c>
      <c r="B378" s="304" t="s">
        <v>48</v>
      </c>
      <c r="C378" s="306">
        <v>5800</v>
      </c>
      <c r="D378" s="303"/>
      <c r="E378" s="305">
        <v>74</v>
      </c>
    </row>
    <row r="379" spans="1:5" ht="21">
      <c r="A379" s="303" t="s">
        <v>1313</v>
      </c>
      <c r="B379" s="304" t="s">
        <v>48</v>
      </c>
      <c r="C379" s="306">
        <v>6300</v>
      </c>
      <c r="D379" s="303"/>
      <c r="E379" s="305">
        <v>74</v>
      </c>
    </row>
    <row r="380" spans="1:5" ht="21">
      <c r="A380" s="303" t="s">
        <v>1315</v>
      </c>
      <c r="B380" s="304" t="s">
        <v>48</v>
      </c>
      <c r="C380" s="306">
        <v>6500</v>
      </c>
      <c r="D380" s="303"/>
      <c r="E380" s="305">
        <v>74</v>
      </c>
    </row>
    <row r="381" spans="1:5" ht="21">
      <c r="A381" s="303"/>
      <c r="B381" s="304"/>
      <c r="C381" s="303"/>
      <c r="D381" s="303"/>
      <c r="E381" s="305"/>
    </row>
    <row r="382" spans="1:5" ht="21">
      <c r="A382" s="303" t="s">
        <v>1302</v>
      </c>
      <c r="B382" s="304" t="s">
        <v>78</v>
      </c>
      <c r="C382" s="306">
        <v>8300</v>
      </c>
      <c r="D382" s="303"/>
      <c r="E382" s="305">
        <v>74</v>
      </c>
    </row>
    <row r="383" spans="1:5" ht="21">
      <c r="A383" s="303" t="s">
        <v>1306</v>
      </c>
      <c r="B383" s="304" t="s">
        <v>78</v>
      </c>
      <c r="C383" s="306">
        <v>7600</v>
      </c>
      <c r="D383" s="303"/>
      <c r="E383" s="305">
        <v>74</v>
      </c>
    </row>
    <row r="384" spans="1:5" ht="21">
      <c r="A384" s="303" t="s">
        <v>1304</v>
      </c>
      <c r="B384" s="304" t="s">
        <v>78</v>
      </c>
      <c r="C384" s="306">
        <v>9400</v>
      </c>
      <c r="D384" s="303"/>
      <c r="E384" s="305">
        <v>74</v>
      </c>
    </row>
    <row r="385" spans="1:5" ht="21">
      <c r="A385" s="303"/>
      <c r="B385" s="304"/>
      <c r="C385" s="303"/>
      <c r="D385" s="303"/>
      <c r="E385" s="305"/>
    </row>
    <row r="386" spans="1:5" ht="21">
      <c r="A386" s="303" t="s">
        <v>1393</v>
      </c>
      <c r="B386" s="304" t="s">
        <v>78</v>
      </c>
      <c r="C386" s="306">
        <v>5600</v>
      </c>
      <c r="D386" s="303"/>
      <c r="E386" s="305">
        <v>74</v>
      </c>
    </row>
    <row r="387" spans="1:5" ht="21">
      <c r="A387" s="303" t="s">
        <v>1394</v>
      </c>
      <c r="B387" s="304" t="s">
        <v>78</v>
      </c>
      <c r="C387" s="306">
        <v>6900</v>
      </c>
      <c r="D387" s="303"/>
      <c r="E387" s="305">
        <v>75</v>
      </c>
    </row>
    <row r="388" spans="1:5" ht="21">
      <c r="A388" s="303"/>
      <c r="B388" s="304"/>
      <c r="C388" s="303"/>
      <c r="D388" s="303"/>
      <c r="E388" s="305"/>
    </row>
    <row r="389" spans="1:5" ht="21">
      <c r="A389" s="303" t="s">
        <v>300</v>
      </c>
      <c r="B389" s="304" t="s">
        <v>78</v>
      </c>
      <c r="C389" s="306">
        <v>9500</v>
      </c>
      <c r="D389" s="303"/>
      <c r="E389" s="305">
        <v>75</v>
      </c>
    </row>
    <row r="390" spans="1:5" ht="21">
      <c r="A390" s="303"/>
      <c r="B390" s="304"/>
      <c r="C390" s="303"/>
      <c r="D390" s="303"/>
      <c r="E390" s="305"/>
    </row>
    <row r="391" spans="1:5" ht="21">
      <c r="A391" s="303" t="s">
        <v>169</v>
      </c>
      <c r="B391" s="304" t="s">
        <v>78</v>
      </c>
      <c r="C391" s="306">
        <v>15000</v>
      </c>
      <c r="D391" s="303"/>
      <c r="E391" s="305">
        <v>75</v>
      </c>
    </row>
    <row r="392" spans="1:5" ht="21">
      <c r="A392" s="303" t="s">
        <v>171</v>
      </c>
      <c r="B392" s="304" t="s">
        <v>78</v>
      </c>
      <c r="C392" s="306">
        <v>18000</v>
      </c>
      <c r="D392" s="303"/>
      <c r="E392" s="305">
        <v>75</v>
      </c>
    </row>
    <row r="393" spans="1:5" ht="21">
      <c r="A393" s="303"/>
      <c r="B393" s="304"/>
      <c r="C393" s="303"/>
      <c r="D393" s="303"/>
      <c r="E393" s="305"/>
    </row>
    <row r="394" spans="1:5" ht="21">
      <c r="A394" s="303" t="s">
        <v>1362</v>
      </c>
      <c r="B394" s="304" t="s">
        <v>78</v>
      </c>
      <c r="C394" s="306">
        <v>11000</v>
      </c>
      <c r="D394" s="303"/>
      <c r="E394" s="305">
        <v>75</v>
      </c>
    </row>
    <row r="395" spans="1:5" ht="21">
      <c r="A395" s="303" t="s">
        <v>1363</v>
      </c>
      <c r="B395" s="304" t="s">
        <v>78</v>
      </c>
      <c r="C395" s="306">
        <v>15000</v>
      </c>
      <c r="D395" s="303"/>
      <c r="E395" s="305">
        <v>75</v>
      </c>
    </row>
    <row r="396" spans="1:5" ht="21">
      <c r="A396" s="303" t="s">
        <v>1364</v>
      </c>
      <c r="B396" s="304" t="s">
        <v>78</v>
      </c>
      <c r="C396" s="306">
        <v>28000</v>
      </c>
      <c r="D396" s="303"/>
      <c r="E396" s="305">
        <v>75</v>
      </c>
    </row>
    <row r="397" spans="1:5" ht="21">
      <c r="A397" s="303"/>
      <c r="B397" s="304"/>
      <c r="C397" s="303"/>
      <c r="D397" s="303"/>
      <c r="E397" s="305"/>
    </row>
    <row r="398" spans="1:5" ht="21">
      <c r="A398" s="303" t="s">
        <v>1368</v>
      </c>
      <c r="B398" s="304" t="s">
        <v>78</v>
      </c>
      <c r="C398" s="306">
        <v>22000</v>
      </c>
      <c r="D398" s="303"/>
      <c r="E398" s="305">
        <v>75</v>
      </c>
    </row>
    <row r="399" spans="1:5" ht="21">
      <c r="A399" s="303" t="s">
        <v>1365</v>
      </c>
      <c r="B399" s="304" t="s">
        <v>78</v>
      </c>
      <c r="C399" s="306">
        <v>25000</v>
      </c>
      <c r="D399" s="303"/>
      <c r="E399" s="305">
        <v>75</v>
      </c>
    </row>
    <row r="400" spans="1:5" ht="21">
      <c r="A400" s="303" t="s">
        <v>1366</v>
      </c>
      <c r="B400" s="304" t="s">
        <v>78</v>
      </c>
      <c r="C400" s="306">
        <v>30000</v>
      </c>
      <c r="D400" s="303"/>
      <c r="E400" s="305">
        <v>75</v>
      </c>
    </row>
    <row r="401" spans="1:5" ht="21">
      <c r="A401" s="303" t="s">
        <v>1367</v>
      </c>
      <c r="B401" s="304" t="s">
        <v>78</v>
      </c>
      <c r="C401" s="306">
        <v>40000</v>
      </c>
      <c r="D401" s="303"/>
      <c r="E401" s="305">
        <v>75</v>
      </c>
    </row>
    <row r="402" spans="1:5" ht="21">
      <c r="A402" s="303"/>
      <c r="B402" s="304"/>
      <c r="C402" s="303"/>
      <c r="D402" s="303"/>
      <c r="E402" s="305"/>
    </row>
    <row r="403" spans="1:5" ht="21">
      <c r="A403" s="303"/>
      <c r="B403" s="304"/>
      <c r="C403" s="303"/>
      <c r="D403" s="303"/>
      <c r="E403" s="305"/>
    </row>
    <row r="404" spans="1:5" ht="21">
      <c r="A404" s="303" t="s">
        <v>223</v>
      </c>
      <c r="B404" s="304" t="s">
        <v>78</v>
      </c>
      <c r="C404" s="306">
        <v>18000</v>
      </c>
      <c r="D404" s="303"/>
      <c r="E404" s="305">
        <v>76</v>
      </c>
    </row>
    <row r="405" spans="1:5" ht="21">
      <c r="A405" s="303" t="s">
        <v>225</v>
      </c>
      <c r="B405" s="304" t="s">
        <v>78</v>
      </c>
      <c r="C405" s="306">
        <v>30000</v>
      </c>
      <c r="D405" s="303"/>
      <c r="E405" s="305">
        <v>76</v>
      </c>
    </row>
    <row r="406" spans="1:5" ht="21">
      <c r="A406" s="303"/>
      <c r="B406" s="304"/>
      <c r="C406" s="303"/>
      <c r="D406" s="303"/>
      <c r="E406" s="305"/>
    </row>
    <row r="407" spans="1:5" ht="21">
      <c r="A407" s="303" t="s">
        <v>175</v>
      </c>
      <c r="B407" s="304" t="s">
        <v>78</v>
      </c>
      <c r="C407" s="306">
        <v>50000</v>
      </c>
      <c r="D407" s="303"/>
      <c r="E407" s="305">
        <v>76</v>
      </c>
    </row>
    <row r="408" spans="1:5" ht="21">
      <c r="A408" s="303" t="s">
        <v>178</v>
      </c>
      <c r="B408" s="304" t="s">
        <v>78</v>
      </c>
      <c r="C408" s="306">
        <v>100000</v>
      </c>
      <c r="D408" s="303"/>
      <c r="E408" s="305">
        <v>76</v>
      </c>
    </row>
    <row r="409" spans="1:5" ht="21">
      <c r="A409" s="303" t="s">
        <v>180</v>
      </c>
      <c r="B409" s="304" t="s">
        <v>78</v>
      </c>
      <c r="C409" s="306">
        <v>120000</v>
      </c>
      <c r="D409" s="303"/>
      <c r="E409" s="305">
        <v>76</v>
      </c>
    </row>
    <row r="410" spans="1:5" ht="21">
      <c r="A410" s="303" t="s">
        <v>184</v>
      </c>
      <c r="B410" s="304" t="s">
        <v>78</v>
      </c>
      <c r="C410" s="306">
        <v>180000</v>
      </c>
      <c r="D410" s="303"/>
      <c r="E410" s="305">
        <v>76</v>
      </c>
    </row>
    <row r="411" spans="1:5" ht="21">
      <c r="A411" s="303" t="s">
        <v>186</v>
      </c>
      <c r="B411" s="304" t="s">
        <v>78</v>
      </c>
      <c r="C411" s="306">
        <v>210000</v>
      </c>
      <c r="D411" s="303"/>
      <c r="E411" s="305">
        <v>76</v>
      </c>
    </row>
    <row r="412" spans="1:5" ht="21">
      <c r="A412" s="303" t="s">
        <v>188</v>
      </c>
      <c r="B412" s="304" t="s">
        <v>78</v>
      </c>
      <c r="C412" s="306">
        <v>120000</v>
      </c>
      <c r="D412" s="303"/>
      <c r="E412" s="305">
        <v>76</v>
      </c>
    </row>
    <row r="413" spans="1:5" ht="21">
      <c r="A413" s="303" t="s">
        <v>190</v>
      </c>
      <c r="B413" s="304" t="s">
        <v>78</v>
      </c>
      <c r="C413" s="306">
        <v>250000</v>
      </c>
      <c r="D413" s="303"/>
      <c r="E413" s="305">
        <v>76</v>
      </c>
    </row>
    <row r="414" spans="1:5" ht="21">
      <c r="A414" s="303" t="s">
        <v>195</v>
      </c>
      <c r="B414" s="304" t="s">
        <v>78</v>
      </c>
      <c r="C414" s="306">
        <v>350000</v>
      </c>
      <c r="D414" s="303"/>
      <c r="E414" s="305">
        <v>76</v>
      </c>
    </row>
    <row r="415" spans="1:5" ht="21">
      <c r="A415" s="303" t="s">
        <v>197</v>
      </c>
      <c r="B415" s="304" t="s">
        <v>78</v>
      </c>
      <c r="C415" s="306">
        <v>450000</v>
      </c>
      <c r="D415" s="303"/>
      <c r="E415" s="305">
        <v>76</v>
      </c>
    </row>
    <row r="416" spans="1:5" ht="21">
      <c r="A416" s="303"/>
      <c r="B416" s="304"/>
      <c r="C416" s="303"/>
      <c r="D416" s="303"/>
      <c r="E416" s="305"/>
    </row>
    <row r="417" spans="1:5" ht="21">
      <c r="A417" s="303" t="s">
        <v>260</v>
      </c>
      <c r="B417" s="304" t="s">
        <v>78</v>
      </c>
      <c r="C417" s="306">
        <v>90000</v>
      </c>
      <c r="D417" s="303"/>
      <c r="E417" s="305">
        <v>76</v>
      </c>
    </row>
    <row r="418" spans="1:5" ht="21">
      <c r="A418" s="303" t="s">
        <v>262</v>
      </c>
      <c r="B418" s="304" t="s">
        <v>78</v>
      </c>
      <c r="C418" s="306">
        <v>130000</v>
      </c>
      <c r="D418" s="303"/>
      <c r="E418" s="305">
        <v>76</v>
      </c>
    </row>
    <row r="419" spans="1:5" ht="21">
      <c r="A419" s="303" t="s">
        <v>266</v>
      </c>
      <c r="B419" s="304" t="s">
        <v>78</v>
      </c>
      <c r="C419" s="306">
        <v>180000</v>
      </c>
      <c r="D419" s="303"/>
      <c r="E419" s="305">
        <v>76</v>
      </c>
    </row>
    <row r="420" spans="1:5" ht="21">
      <c r="A420" s="303" t="s">
        <v>271</v>
      </c>
      <c r="B420" s="304" t="s">
        <v>78</v>
      </c>
      <c r="C420" s="306">
        <v>180000</v>
      </c>
      <c r="D420" s="303"/>
      <c r="E420" s="305">
        <v>77</v>
      </c>
    </row>
    <row r="421" spans="1:5" ht="21">
      <c r="A421" s="303"/>
      <c r="B421" s="304"/>
      <c r="C421" s="303"/>
      <c r="D421" s="303"/>
      <c r="E421" s="305"/>
    </row>
    <row r="422" spans="1:5" ht="21">
      <c r="A422" s="303" t="s">
        <v>207</v>
      </c>
      <c r="B422" s="304" t="s">
        <v>78</v>
      </c>
      <c r="C422" s="306">
        <v>20000</v>
      </c>
      <c r="D422" s="303"/>
      <c r="E422" s="305">
        <v>77</v>
      </c>
    </row>
    <row r="423" spans="1:5" ht="21">
      <c r="A423" s="303" t="s">
        <v>211</v>
      </c>
      <c r="B423" s="304" t="s">
        <v>78</v>
      </c>
      <c r="C423" s="306">
        <v>30000</v>
      </c>
      <c r="D423" s="303"/>
      <c r="E423" s="305">
        <v>77</v>
      </c>
    </row>
    <row r="424" spans="1:5" ht="21">
      <c r="A424" s="303" t="s">
        <v>213</v>
      </c>
      <c r="B424" s="304" t="s">
        <v>78</v>
      </c>
      <c r="C424" s="306">
        <v>65000</v>
      </c>
      <c r="D424" s="303"/>
      <c r="E424" s="305">
        <v>77</v>
      </c>
    </row>
    <row r="425" spans="1:5" ht="21">
      <c r="A425" s="303" t="s">
        <v>215</v>
      </c>
      <c r="B425" s="304" t="s">
        <v>78</v>
      </c>
      <c r="C425" s="306">
        <v>24600</v>
      </c>
      <c r="D425" s="303"/>
      <c r="E425" s="305">
        <v>77</v>
      </c>
    </row>
    <row r="426" spans="1:5" ht="21">
      <c r="A426" s="303" t="s">
        <v>217</v>
      </c>
      <c r="B426" s="304" t="s">
        <v>78</v>
      </c>
      <c r="C426" s="306">
        <v>49500</v>
      </c>
      <c r="D426" s="303"/>
      <c r="E426" s="305">
        <v>77</v>
      </c>
    </row>
    <row r="427" spans="1:5" ht="21">
      <c r="A427" s="303" t="s">
        <v>219</v>
      </c>
      <c r="B427" s="304" t="s">
        <v>78</v>
      </c>
      <c r="C427" s="306">
        <v>69900</v>
      </c>
      <c r="D427" s="303"/>
      <c r="E427" s="305">
        <v>77</v>
      </c>
    </row>
    <row r="428" spans="1:5" ht="21">
      <c r="A428" s="303"/>
      <c r="B428" s="304"/>
      <c r="C428" s="303"/>
      <c r="D428" s="303"/>
      <c r="E428" s="305"/>
    </row>
    <row r="429" spans="1:5" ht="21">
      <c r="A429" s="303"/>
      <c r="B429" s="304"/>
      <c r="C429" s="303"/>
      <c r="D429" s="303"/>
      <c r="E429" s="305"/>
    </row>
    <row r="430" spans="1:5" ht="21">
      <c r="A430" s="303"/>
      <c r="B430" s="304"/>
      <c r="C430" s="303"/>
      <c r="D430" s="303"/>
      <c r="E430" s="305"/>
    </row>
    <row r="431" spans="1:5" ht="21">
      <c r="A431" s="303" t="s">
        <v>80</v>
      </c>
      <c r="B431" s="304" t="s">
        <v>78</v>
      </c>
      <c r="C431" s="306">
        <v>12000</v>
      </c>
      <c r="D431" s="303"/>
      <c r="E431" s="305">
        <v>77</v>
      </c>
    </row>
    <row r="432" spans="1:5" ht="21">
      <c r="A432" s="303" t="s">
        <v>3771</v>
      </c>
      <c r="B432" s="304" t="s">
        <v>78</v>
      </c>
      <c r="C432" s="306">
        <v>18000</v>
      </c>
      <c r="D432" s="303"/>
      <c r="E432" s="305">
        <v>77</v>
      </c>
    </row>
    <row r="433" spans="1:5" ht="21">
      <c r="A433" s="303"/>
      <c r="B433" s="304"/>
      <c r="C433" s="303"/>
      <c r="D433" s="303"/>
      <c r="E433" s="305"/>
    </row>
    <row r="434" spans="1:5" ht="21">
      <c r="A434" s="303" t="s">
        <v>238</v>
      </c>
      <c r="B434" s="304" t="s">
        <v>78</v>
      </c>
      <c r="C434" s="306">
        <v>25000</v>
      </c>
      <c r="D434" s="303"/>
      <c r="E434" s="305">
        <v>77</v>
      </c>
    </row>
    <row r="435" spans="1:5" ht="21">
      <c r="A435" s="303"/>
      <c r="B435" s="304"/>
      <c r="C435" s="303"/>
      <c r="D435" s="303"/>
      <c r="E435" s="305"/>
    </row>
    <row r="436" spans="1:5" ht="21">
      <c r="A436" s="303" t="s">
        <v>229</v>
      </c>
      <c r="B436" s="304" t="s">
        <v>78</v>
      </c>
      <c r="C436" s="306">
        <v>53000</v>
      </c>
      <c r="D436" s="303"/>
      <c r="E436" s="305">
        <v>78</v>
      </c>
    </row>
    <row r="437" spans="1:5" ht="21">
      <c r="A437" s="303" t="s">
        <v>3773</v>
      </c>
      <c r="B437" s="304" t="s">
        <v>78</v>
      </c>
      <c r="C437" s="306">
        <v>75000</v>
      </c>
      <c r="D437" s="303"/>
      <c r="E437" s="305">
        <v>78</v>
      </c>
    </row>
    <row r="438" spans="1:5" ht="21">
      <c r="A438" s="303"/>
      <c r="B438" s="304"/>
      <c r="C438" s="303"/>
      <c r="D438" s="303"/>
      <c r="E438" s="305"/>
    </row>
    <row r="439" spans="1:5" ht="21">
      <c r="A439" s="303"/>
      <c r="B439" s="304"/>
      <c r="C439" s="303"/>
      <c r="D439" s="303"/>
      <c r="E439" s="305"/>
    </row>
    <row r="440" spans="1:5" ht="21">
      <c r="A440" s="303" t="s">
        <v>3774</v>
      </c>
      <c r="B440" s="304" t="s">
        <v>78</v>
      </c>
      <c r="C440" s="306">
        <v>23000</v>
      </c>
      <c r="D440" s="303"/>
      <c r="E440" s="305" t="s">
        <v>3775</v>
      </c>
    </row>
    <row r="441" spans="1:5" ht="21">
      <c r="A441" s="303" t="s">
        <v>3776</v>
      </c>
      <c r="B441" s="304" t="s">
        <v>78</v>
      </c>
      <c r="C441" s="306">
        <v>25900</v>
      </c>
      <c r="D441" s="303"/>
      <c r="E441" s="305" t="s">
        <v>3775</v>
      </c>
    </row>
    <row r="442" spans="1:5" ht="21">
      <c r="A442" s="303" t="s">
        <v>3777</v>
      </c>
      <c r="B442" s="304" t="s">
        <v>78</v>
      </c>
      <c r="C442" s="306">
        <v>28600</v>
      </c>
      <c r="D442" s="303"/>
      <c r="E442" s="305" t="s">
        <v>3775</v>
      </c>
    </row>
    <row r="443" spans="1:5" ht="21">
      <c r="A443" s="303" t="s">
        <v>3778</v>
      </c>
      <c r="B443" s="304" t="s">
        <v>78</v>
      </c>
      <c r="C443" s="306">
        <v>30600</v>
      </c>
      <c r="D443" s="303"/>
      <c r="E443" s="305" t="s">
        <v>3775</v>
      </c>
    </row>
    <row r="444" spans="1:5" ht="21">
      <c r="A444" s="303" t="s">
        <v>3779</v>
      </c>
      <c r="B444" s="304" t="s">
        <v>78</v>
      </c>
      <c r="C444" s="306">
        <v>32400</v>
      </c>
      <c r="D444" s="303"/>
      <c r="E444" s="305" t="s">
        <v>3775</v>
      </c>
    </row>
    <row r="445" spans="1:5" ht="21">
      <c r="A445" s="303" t="s">
        <v>3781</v>
      </c>
      <c r="B445" s="304" t="s">
        <v>78</v>
      </c>
      <c r="C445" s="306">
        <v>36200</v>
      </c>
      <c r="D445" s="303"/>
      <c r="E445" s="305" t="s">
        <v>3775</v>
      </c>
    </row>
    <row r="446" spans="1:5" ht="21">
      <c r="A446" s="303" t="s">
        <v>3783</v>
      </c>
      <c r="B446" s="304" t="s">
        <v>78</v>
      </c>
      <c r="C446" s="306">
        <v>40200</v>
      </c>
      <c r="D446" s="303"/>
      <c r="E446" s="305" t="s">
        <v>3775</v>
      </c>
    </row>
    <row r="447" spans="1:5" ht="21">
      <c r="A447" s="303" t="s">
        <v>3784</v>
      </c>
      <c r="B447" s="304" t="s">
        <v>78</v>
      </c>
      <c r="C447" s="306">
        <v>42300</v>
      </c>
      <c r="D447" s="303"/>
      <c r="E447" s="305" t="s">
        <v>3775</v>
      </c>
    </row>
    <row r="448" spans="1:5" ht="21">
      <c r="A448" s="303" t="s">
        <v>3785</v>
      </c>
      <c r="B448" s="304" t="s">
        <v>78</v>
      </c>
      <c r="C448" s="306">
        <v>47000</v>
      </c>
      <c r="D448" s="303"/>
      <c r="E448" s="305" t="s">
        <v>3775</v>
      </c>
    </row>
    <row r="449" spans="1:5" ht="21">
      <c r="A449" s="303" t="s">
        <v>3786</v>
      </c>
      <c r="B449" s="304" t="s">
        <v>78</v>
      </c>
      <c r="C449" s="306">
        <v>51200</v>
      </c>
      <c r="D449" s="303"/>
      <c r="E449" s="305" t="s">
        <v>3775</v>
      </c>
    </row>
    <row r="450" spans="1:5" ht="21">
      <c r="A450" s="303" t="s">
        <v>3787</v>
      </c>
      <c r="B450" s="304" t="s">
        <v>78</v>
      </c>
      <c r="C450" s="306">
        <v>53300</v>
      </c>
      <c r="D450" s="303"/>
      <c r="E450" s="305" t="s">
        <v>3775</v>
      </c>
    </row>
    <row r="451" spans="1:5" ht="21">
      <c r="A451" s="303" t="s">
        <v>3788</v>
      </c>
      <c r="B451" s="304" t="s">
        <v>78</v>
      </c>
      <c r="C451" s="306">
        <v>55900</v>
      </c>
      <c r="D451" s="303"/>
      <c r="E451" s="305" t="s">
        <v>3775</v>
      </c>
    </row>
    <row r="452" spans="1:5" ht="21">
      <c r="A452" s="303" t="s">
        <v>3791</v>
      </c>
      <c r="B452" s="304" t="s">
        <v>78</v>
      </c>
      <c r="C452" s="306">
        <v>57000</v>
      </c>
      <c r="D452" s="303" t="s">
        <v>3792</v>
      </c>
      <c r="E452" s="305" t="s">
        <v>3775</v>
      </c>
    </row>
    <row r="453" spans="1:5" ht="21">
      <c r="A453" s="303"/>
      <c r="B453" s="304"/>
      <c r="C453" s="303"/>
      <c r="D453" s="303"/>
      <c r="E453" s="305"/>
    </row>
    <row r="454" spans="1:5" ht="21">
      <c r="A454" s="303"/>
      <c r="B454" s="304"/>
      <c r="C454" s="303"/>
      <c r="D454" s="303"/>
      <c r="E454" s="305"/>
    </row>
    <row r="455" spans="1:5" ht="21">
      <c r="A455" s="303" t="s">
        <v>3793</v>
      </c>
      <c r="B455" s="304" t="s">
        <v>78</v>
      </c>
      <c r="C455" s="306">
        <v>17000</v>
      </c>
      <c r="D455" s="303"/>
      <c r="E455" s="305" t="s">
        <v>3775</v>
      </c>
    </row>
    <row r="456" spans="1:5" ht="21">
      <c r="A456" s="303" t="s">
        <v>3794</v>
      </c>
      <c r="B456" s="304" t="s">
        <v>78</v>
      </c>
      <c r="C456" s="306">
        <v>20000</v>
      </c>
      <c r="D456" s="303"/>
      <c r="E456" s="305" t="s">
        <v>3775</v>
      </c>
    </row>
    <row r="457" spans="1:5" ht="21">
      <c r="A457" s="303" t="s">
        <v>3795</v>
      </c>
      <c r="B457" s="304" t="s">
        <v>78</v>
      </c>
      <c r="C457" s="306">
        <v>21000</v>
      </c>
      <c r="D457" s="303"/>
      <c r="E457" s="305" t="s">
        <v>3775</v>
      </c>
    </row>
    <row r="458" spans="1:5" ht="21">
      <c r="A458" s="303" t="s">
        <v>3797</v>
      </c>
      <c r="B458" s="304" t="s">
        <v>78</v>
      </c>
      <c r="C458" s="306">
        <v>28000</v>
      </c>
      <c r="D458" s="303" t="s">
        <v>3798</v>
      </c>
      <c r="E458" s="305" t="s">
        <v>3775</v>
      </c>
    </row>
    <row r="459" spans="1:5" ht="21">
      <c r="A459" s="303"/>
      <c r="B459" s="304"/>
      <c r="C459" s="303"/>
      <c r="D459" s="303"/>
      <c r="E459" s="305"/>
    </row>
    <row r="460" spans="1:5" ht="21">
      <c r="A460" s="303"/>
      <c r="B460" s="304"/>
      <c r="C460" s="303"/>
      <c r="D460" s="303"/>
      <c r="E460" s="305"/>
    </row>
    <row r="461" spans="1:5" ht="21">
      <c r="A461" s="303" t="s">
        <v>3799</v>
      </c>
      <c r="B461" s="304" t="s">
        <v>78</v>
      </c>
      <c r="C461" s="306">
        <v>58000</v>
      </c>
      <c r="D461" s="303"/>
      <c r="E461" s="305" t="s">
        <v>3775</v>
      </c>
    </row>
    <row r="462" spans="1:5" ht="21">
      <c r="A462" s="303" t="s">
        <v>3800</v>
      </c>
      <c r="B462" s="304" t="s">
        <v>78</v>
      </c>
      <c r="C462" s="306">
        <v>61000</v>
      </c>
      <c r="D462" s="303" t="s">
        <v>3792</v>
      </c>
      <c r="E462" s="305" t="s">
        <v>3775</v>
      </c>
    </row>
    <row r="463" spans="1:5" ht="21">
      <c r="A463" s="303"/>
      <c r="B463" s="304"/>
      <c r="C463" s="303"/>
      <c r="D463" s="303"/>
      <c r="E463" s="305"/>
    </row>
    <row r="464" spans="1:5" ht="21">
      <c r="A464" s="303"/>
      <c r="B464" s="304"/>
      <c r="C464" s="303"/>
      <c r="D464" s="303"/>
      <c r="E464" s="305"/>
    </row>
    <row r="465" spans="1:5" ht="21">
      <c r="A465" s="303"/>
      <c r="B465" s="304"/>
      <c r="C465" s="303"/>
      <c r="D465" s="303"/>
      <c r="E465" s="305"/>
    </row>
    <row r="466" spans="1:5" ht="21">
      <c r="A466" s="303" t="s">
        <v>130</v>
      </c>
      <c r="B466" s="304" t="s">
        <v>78</v>
      </c>
      <c r="C466" s="306">
        <v>13000</v>
      </c>
      <c r="D466" s="303"/>
      <c r="E466" s="305">
        <v>79</v>
      </c>
    </row>
    <row r="467" spans="1:5" ht="21">
      <c r="A467" s="303" t="s">
        <v>134</v>
      </c>
      <c r="B467" s="304" t="s">
        <v>78</v>
      </c>
      <c r="C467" s="306">
        <v>14000</v>
      </c>
      <c r="D467" s="303"/>
      <c r="E467" s="305">
        <v>79</v>
      </c>
    </row>
    <row r="468" spans="1:5" ht="21">
      <c r="A468" s="303" t="s">
        <v>1308</v>
      </c>
      <c r="B468" s="304" t="s">
        <v>78</v>
      </c>
      <c r="C468" s="306">
        <v>20000</v>
      </c>
      <c r="D468" s="303"/>
      <c r="E468" s="305">
        <v>79</v>
      </c>
    </row>
    <row r="469" spans="1:5" ht="21">
      <c r="A469" s="303" t="s">
        <v>437</v>
      </c>
      <c r="B469" s="304" t="s">
        <v>433</v>
      </c>
      <c r="C469" s="306">
        <v>5200</v>
      </c>
      <c r="D469" s="303"/>
      <c r="E469" s="305">
        <v>79</v>
      </c>
    </row>
    <row r="470" spans="1:5" ht="21">
      <c r="A470" s="303" t="s">
        <v>439</v>
      </c>
      <c r="B470" s="304" t="s">
        <v>433</v>
      </c>
      <c r="C470" s="306">
        <v>6800</v>
      </c>
      <c r="D470" s="303"/>
      <c r="E470" s="305">
        <v>79</v>
      </c>
    </row>
    <row r="471" spans="1:5" ht="21">
      <c r="A471" s="303" t="s">
        <v>441</v>
      </c>
      <c r="B471" s="304" t="s">
        <v>433</v>
      </c>
      <c r="C471" s="306">
        <v>9200</v>
      </c>
      <c r="D471" s="303"/>
      <c r="E471" s="305">
        <v>79</v>
      </c>
    </row>
    <row r="472" spans="1:5" ht="21">
      <c r="A472" s="303" t="s">
        <v>443</v>
      </c>
      <c r="B472" s="304" t="s">
        <v>433</v>
      </c>
      <c r="C472" s="306">
        <v>9800</v>
      </c>
      <c r="D472" s="303"/>
      <c r="E472" s="305">
        <v>79</v>
      </c>
    </row>
    <row r="473" spans="1:5" ht="21">
      <c r="A473" s="303" t="s">
        <v>432</v>
      </c>
      <c r="B473" s="304" t="s">
        <v>433</v>
      </c>
      <c r="C473" s="306">
        <v>6400</v>
      </c>
      <c r="D473" s="303"/>
      <c r="E473" s="305">
        <v>80</v>
      </c>
    </row>
    <row r="474" spans="1:5" ht="21">
      <c r="A474" s="303" t="s">
        <v>445</v>
      </c>
      <c r="B474" s="304" t="s">
        <v>433</v>
      </c>
      <c r="C474" s="306">
        <v>8700</v>
      </c>
      <c r="D474" s="303"/>
      <c r="E474" s="305">
        <v>80</v>
      </c>
    </row>
    <row r="475" spans="1:5" ht="21">
      <c r="A475" s="303" t="s">
        <v>447</v>
      </c>
      <c r="B475" s="304" t="s">
        <v>433</v>
      </c>
      <c r="C475" s="306">
        <v>12000</v>
      </c>
      <c r="D475" s="303"/>
      <c r="E475" s="305">
        <v>80</v>
      </c>
    </row>
    <row r="476" spans="1:5" ht="21">
      <c r="A476" s="303" t="s">
        <v>449</v>
      </c>
      <c r="B476" s="304" t="s">
        <v>433</v>
      </c>
      <c r="C476" s="306">
        <v>15000</v>
      </c>
      <c r="D476" s="303"/>
      <c r="E476" s="305">
        <v>80</v>
      </c>
    </row>
    <row r="477" spans="1:5" ht="21">
      <c r="A477" s="303" t="s">
        <v>453</v>
      </c>
      <c r="B477" s="304" t="s">
        <v>433</v>
      </c>
      <c r="C477" s="306">
        <v>19500</v>
      </c>
      <c r="D477" s="303"/>
      <c r="E477" s="305">
        <v>80</v>
      </c>
    </row>
    <row r="478" spans="1:5" ht="21">
      <c r="A478" s="303"/>
      <c r="B478" s="304"/>
      <c r="C478" s="303"/>
      <c r="D478" s="303"/>
      <c r="E478" s="305"/>
    </row>
    <row r="479" spans="1:5" ht="21">
      <c r="A479" s="303" t="s">
        <v>253</v>
      </c>
      <c r="B479" s="304" t="s">
        <v>78</v>
      </c>
      <c r="C479" s="306">
        <v>48000</v>
      </c>
      <c r="D479" s="303"/>
      <c r="E479" s="305">
        <v>80</v>
      </c>
    </row>
    <row r="480" spans="1:5" ht="21">
      <c r="A480" s="303" t="s">
        <v>3809</v>
      </c>
      <c r="B480" s="304" t="s">
        <v>78</v>
      </c>
      <c r="C480" s="306">
        <v>9700</v>
      </c>
      <c r="D480" s="303"/>
      <c r="E480" s="305">
        <v>80</v>
      </c>
    </row>
    <row r="481" spans="1:5" ht="21">
      <c r="A481" s="303"/>
      <c r="B481" s="304"/>
      <c r="C481" s="303"/>
      <c r="D481" s="303"/>
      <c r="E481" s="305"/>
    </row>
    <row r="482" spans="1:5" ht="21">
      <c r="A482" s="303" t="s">
        <v>428</v>
      </c>
      <c r="B482" s="304" t="s">
        <v>53</v>
      </c>
      <c r="C482" s="306">
        <v>8500</v>
      </c>
      <c r="D482" s="303"/>
      <c r="E482" s="305">
        <v>80</v>
      </c>
    </row>
    <row r="483" spans="1:5" ht="21">
      <c r="A483" s="303"/>
      <c r="B483" s="304"/>
      <c r="C483" s="303"/>
      <c r="D483" s="303"/>
      <c r="E483" s="305"/>
    </row>
    <row r="484" spans="1:5" ht="21">
      <c r="A484" s="303"/>
      <c r="B484" s="304"/>
      <c r="C484" s="303"/>
      <c r="D484" s="303"/>
      <c r="E484" s="305"/>
    </row>
    <row r="485" spans="1:5" ht="21">
      <c r="A485" s="303" t="s">
        <v>391</v>
      </c>
      <c r="B485" s="304" t="s">
        <v>358</v>
      </c>
      <c r="C485" s="306">
        <v>5500</v>
      </c>
      <c r="D485" s="303"/>
      <c r="E485" s="305">
        <v>80</v>
      </c>
    </row>
    <row r="486" spans="1:5" ht="21">
      <c r="A486" s="303" t="s">
        <v>397</v>
      </c>
      <c r="B486" s="304" t="s">
        <v>358</v>
      </c>
      <c r="C486" s="306">
        <v>7900</v>
      </c>
      <c r="D486" s="303"/>
      <c r="E486" s="305">
        <v>80</v>
      </c>
    </row>
    <row r="487" spans="1:5" ht="21">
      <c r="A487" s="303" t="s">
        <v>386</v>
      </c>
      <c r="B487" s="304" t="s">
        <v>358</v>
      </c>
      <c r="C487" s="306">
        <v>8000</v>
      </c>
      <c r="D487" s="303"/>
      <c r="E487" s="305">
        <v>81</v>
      </c>
    </row>
    <row r="488" spans="1:5" ht="21">
      <c r="A488" s="303"/>
      <c r="B488" s="304"/>
      <c r="C488" s="303"/>
      <c r="D488" s="303"/>
      <c r="E488" s="305"/>
    </row>
    <row r="489" spans="1:5" ht="21">
      <c r="A489" s="300"/>
      <c r="B489" s="301"/>
      <c r="C489" s="300"/>
      <c r="D489" s="300"/>
      <c r="E489" s="302"/>
    </row>
    <row r="490" spans="1:5" ht="21">
      <c r="A490" s="303" t="s">
        <v>52</v>
      </c>
      <c r="B490" s="304" t="s">
        <v>53</v>
      </c>
      <c r="C490" s="306">
        <v>22000</v>
      </c>
      <c r="D490" s="303"/>
      <c r="E490" s="305">
        <v>82</v>
      </c>
    </row>
    <row r="491" spans="1:5" ht="21">
      <c r="A491" s="303" t="s">
        <v>58</v>
      </c>
      <c r="B491" s="304" t="s">
        <v>53</v>
      </c>
      <c r="C491" s="306">
        <v>34000</v>
      </c>
      <c r="D491" s="303"/>
      <c r="E491" s="305" t="s">
        <v>3812</v>
      </c>
    </row>
    <row r="492" spans="1:5" ht="21">
      <c r="A492" s="303" t="s">
        <v>62</v>
      </c>
      <c r="B492" s="304" t="s">
        <v>53</v>
      </c>
      <c r="C492" s="306">
        <v>85000</v>
      </c>
      <c r="D492" s="303"/>
      <c r="E492" s="305" t="s">
        <v>3813</v>
      </c>
    </row>
    <row r="493" spans="1:5" ht="21">
      <c r="A493" s="303" t="s">
        <v>75</v>
      </c>
      <c r="B493" s="304" t="s">
        <v>53</v>
      </c>
      <c r="C493" s="306">
        <v>110000</v>
      </c>
      <c r="D493" s="303"/>
      <c r="E493" s="305" t="s">
        <v>3814</v>
      </c>
    </row>
    <row r="494" spans="1:5" ht="21">
      <c r="A494" s="303" t="s">
        <v>71</v>
      </c>
      <c r="B494" s="304" t="s">
        <v>53</v>
      </c>
      <c r="C494" s="306">
        <v>97000</v>
      </c>
      <c r="D494" s="303"/>
      <c r="E494" s="305">
        <v>85</v>
      </c>
    </row>
    <row r="495" spans="1:5" ht="21">
      <c r="A495" s="303" t="s">
        <v>66</v>
      </c>
      <c r="B495" s="304" t="s">
        <v>53</v>
      </c>
      <c r="C495" s="306">
        <v>85000</v>
      </c>
      <c r="D495" s="303"/>
      <c r="E495" s="305">
        <v>86</v>
      </c>
    </row>
    <row r="496" spans="1:5" ht="21">
      <c r="A496" s="303" t="s">
        <v>68</v>
      </c>
      <c r="B496" s="304" t="s">
        <v>53</v>
      </c>
      <c r="C496" s="306">
        <v>80000</v>
      </c>
      <c r="D496" s="303"/>
      <c r="E496" s="305" t="s">
        <v>3815</v>
      </c>
    </row>
    <row r="497" spans="1:5" ht="21">
      <c r="A497" s="303"/>
      <c r="B497" s="304"/>
      <c r="C497" s="303"/>
      <c r="D497" s="303"/>
      <c r="E497" s="305"/>
    </row>
    <row r="498" spans="1:5" ht="21">
      <c r="A498" s="303" t="s">
        <v>312</v>
      </c>
      <c r="B498" s="304" t="s">
        <v>78</v>
      </c>
      <c r="C498" s="306">
        <v>25000</v>
      </c>
      <c r="D498" s="303"/>
      <c r="E498" s="305">
        <v>87</v>
      </c>
    </row>
    <row r="499" spans="1:5" ht="21">
      <c r="A499" s="303"/>
      <c r="B499" s="304"/>
      <c r="C499" s="303"/>
      <c r="D499" s="303"/>
      <c r="E499" s="305"/>
    </row>
    <row r="500" spans="1:5" ht="21">
      <c r="A500" s="303" t="s">
        <v>143</v>
      </c>
      <c r="B500" s="304" t="s">
        <v>78</v>
      </c>
      <c r="C500" s="306">
        <v>20000</v>
      </c>
      <c r="D500" s="303"/>
      <c r="E500" s="305">
        <v>87</v>
      </c>
    </row>
    <row r="501" spans="1:5" ht="21">
      <c r="A501" s="303"/>
      <c r="B501" s="304"/>
      <c r="C501" s="303"/>
      <c r="D501" s="303"/>
      <c r="E501" s="305"/>
    </row>
    <row r="502" spans="1:5" ht="21">
      <c r="A502" s="303" t="s">
        <v>312</v>
      </c>
      <c r="B502" s="304" t="s">
        <v>36</v>
      </c>
      <c r="C502" s="306">
        <v>25000</v>
      </c>
      <c r="D502" s="303"/>
      <c r="E502" s="305">
        <v>88</v>
      </c>
    </row>
    <row r="503" spans="1:5" ht="15.75" customHeight="1">
      <c r="A503" s="307"/>
      <c r="B503" s="308"/>
      <c r="C503" s="307"/>
      <c r="D503" s="307"/>
      <c r="E503" s="309"/>
    </row>
    <row r="504" spans="1:5" ht="21">
      <c r="A504" s="301"/>
      <c r="B504" s="301"/>
      <c r="C504" s="301"/>
      <c r="D504" s="301"/>
      <c r="E504" s="302"/>
    </row>
    <row r="505" spans="1:5" ht="21">
      <c r="A505" s="303"/>
      <c r="B505" s="304"/>
      <c r="C505" s="303"/>
      <c r="D505" s="303"/>
      <c r="E505" s="305"/>
    </row>
    <row r="506" spans="1:5" ht="21">
      <c r="A506" s="303" t="s">
        <v>45</v>
      </c>
      <c r="B506" s="304" t="s">
        <v>36</v>
      </c>
      <c r="C506" s="306">
        <v>15000</v>
      </c>
      <c r="D506" s="303"/>
      <c r="E506" s="305">
        <v>88</v>
      </c>
    </row>
    <row r="507" spans="1:5" ht="21">
      <c r="A507" s="303" t="s">
        <v>40</v>
      </c>
      <c r="B507" s="304" t="s">
        <v>36</v>
      </c>
      <c r="C507" s="306">
        <v>35000</v>
      </c>
      <c r="D507" s="303"/>
      <c r="E507" s="305">
        <v>88</v>
      </c>
    </row>
    <row r="508" spans="1:5" ht="21">
      <c r="A508" s="303" t="s">
        <v>35</v>
      </c>
      <c r="B508" s="304" t="s">
        <v>36</v>
      </c>
      <c r="C508" s="306">
        <v>50000</v>
      </c>
      <c r="D508" s="303"/>
      <c r="E508" s="305">
        <v>89</v>
      </c>
    </row>
    <row r="509" spans="1:5" ht="21">
      <c r="A509" s="303" t="s">
        <v>43</v>
      </c>
      <c r="B509" s="304" t="s">
        <v>36</v>
      </c>
      <c r="C509" s="306">
        <v>245000</v>
      </c>
      <c r="D509" s="303"/>
      <c r="E509" s="305">
        <v>89</v>
      </c>
    </row>
    <row r="510" spans="1:5" ht="21">
      <c r="A510" s="303"/>
      <c r="B510" s="304"/>
      <c r="C510" s="303"/>
      <c r="D510" s="303"/>
      <c r="E510" s="305"/>
    </row>
    <row r="511" spans="1:5" ht="21">
      <c r="A511" s="303" t="s">
        <v>235</v>
      </c>
      <c r="B511" s="304" t="s">
        <v>78</v>
      </c>
      <c r="C511" s="306">
        <v>285000</v>
      </c>
      <c r="D511" s="303"/>
      <c r="E511" s="305">
        <v>90</v>
      </c>
    </row>
    <row r="512" spans="1:5" ht="21">
      <c r="A512" s="303"/>
      <c r="B512" s="304"/>
      <c r="C512" s="303"/>
      <c r="D512" s="303"/>
      <c r="E512" s="305"/>
    </row>
    <row r="513" spans="1:5" ht="21">
      <c r="A513" s="303" t="s">
        <v>307</v>
      </c>
      <c r="B513" s="304" t="s">
        <v>78</v>
      </c>
      <c r="C513" s="306">
        <v>22000</v>
      </c>
      <c r="D513" s="303"/>
      <c r="E513" s="305">
        <v>90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8E7CC3"/>
    <outlinePr summaryBelow="0" summaryRight="0"/>
  </sheetPr>
  <dimension ref="A1:Z2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4.42578125" defaultRowHeight="15.75" customHeight="1"/>
  <cols>
    <col min="1" max="1" width="23.85546875" customWidth="1"/>
    <col min="2" max="2" width="17.42578125" customWidth="1"/>
    <col min="3" max="26" width="12.42578125" customWidth="1"/>
  </cols>
  <sheetData>
    <row r="1" spans="1:26" ht="18.75">
      <c r="A1" s="536" t="s">
        <v>3804</v>
      </c>
      <c r="B1" s="499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</row>
    <row r="2" spans="1:26" ht="15.75" customHeight="1">
      <c r="A2" s="280" t="s">
        <v>3156</v>
      </c>
      <c r="B2" s="280" t="s">
        <v>3158</v>
      </c>
      <c r="C2" s="280"/>
      <c r="D2" s="280"/>
      <c r="E2" s="280"/>
      <c r="F2" s="280">
        <v>42682</v>
      </c>
      <c r="G2" s="280">
        <v>42902</v>
      </c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</row>
    <row r="3" spans="1:26" ht="18.75">
      <c r="A3" s="24" t="s">
        <v>3577</v>
      </c>
      <c r="B3" s="121">
        <f t="shared" ref="B3:B14" si="0">SUM(C3:Z3)</f>
        <v>2</v>
      </c>
      <c r="C3" s="121"/>
      <c r="D3" s="121"/>
      <c r="E3" s="121"/>
      <c r="F3" s="121">
        <v>1</v>
      </c>
      <c r="G3" s="121">
        <v>1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1:26" ht="18.75">
      <c r="A4" s="24" t="s">
        <v>3177</v>
      </c>
      <c r="B4" s="121">
        <f t="shared" si="0"/>
        <v>1</v>
      </c>
      <c r="C4" s="121"/>
      <c r="D4" s="121"/>
      <c r="E4" s="121"/>
      <c r="F4" s="121">
        <v>1</v>
      </c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</row>
    <row r="5" spans="1:26" ht="18.75">
      <c r="A5" s="24" t="s">
        <v>3192</v>
      </c>
      <c r="B5" s="121">
        <f t="shared" si="0"/>
        <v>2</v>
      </c>
      <c r="C5" s="121"/>
      <c r="D5" s="121"/>
      <c r="E5" s="121"/>
      <c r="F5" s="121">
        <v>1</v>
      </c>
      <c r="G5" s="121">
        <v>1</v>
      </c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8.75">
      <c r="A6" s="24" t="s">
        <v>3182</v>
      </c>
      <c r="B6" s="121">
        <f t="shared" si="0"/>
        <v>2</v>
      </c>
      <c r="C6" s="121"/>
      <c r="D6" s="121"/>
      <c r="E6" s="121"/>
      <c r="F6" s="121">
        <v>1</v>
      </c>
      <c r="G6" s="121">
        <v>1</v>
      </c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8.75">
      <c r="A7" s="24" t="s">
        <v>3187</v>
      </c>
      <c r="B7" s="121">
        <f t="shared" si="0"/>
        <v>2</v>
      </c>
      <c r="C7" s="121"/>
      <c r="D7" s="121"/>
      <c r="E7" s="121"/>
      <c r="F7" s="121">
        <v>1</v>
      </c>
      <c r="G7" s="121">
        <v>1</v>
      </c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8.75">
      <c r="A8" s="24" t="s">
        <v>3196</v>
      </c>
      <c r="B8" s="121">
        <f t="shared" si="0"/>
        <v>1</v>
      </c>
      <c r="C8" s="121"/>
      <c r="D8" s="121"/>
      <c r="E8" s="121"/>
      <c r="F8" s="121">
        <v>1</v>
      </c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8.75">
      <c r="A9" s="24" t="s">
        <v>3199</v>
      </c>
      <c r="B9" s="121">
        <f t="shared" si="0"/>
        <v>0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</row>
    <row r="10" spans="1:26" ht="18.75">
      <c r="A10" s="24" t="s">
        <v>3204</v>
      </c>
      <c r="B10" s="121">
        <f t="shared" si="0"/>
        <v>0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</row>
    <row r="11" spans="1:26" ht="18.75">
      <c r="A11" s="24" t="s">
        <v>3207</v>
      </c>
      <c r="B11" s="121">
        <f t="shared" si="0"/>
        <v>2</v>
      </c>
      <c r="C11" s="121"/>
      <c r="D11" s="121"/>
      <c r="E11" s="121"/>
      <c r="F11" s="121">
        <v>1</v>
      </c>
      <c r="G11" s="121">
        <v>1</v>
      </c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</row>
    <row r="12" spans="1:26" ht="18.75">
      <c r="A12" s="24" t="s">
        <v>3210</v>
      </c>
      <c r="B12" s="121">
        <f t="shared" si="0"/>
        <v>0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</row>
    <row r="13" spans="1:26" ht="18.75">
      <c r="A13" s="24" t="s">
        <v>3213</v>
      </c>
      <c r="B13" s="121">
        <f t="shared" si="0"/>
        <v>0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</row>
    <row r="14" spans="1:26" ht="18.75">
      <c r="A14" s="24" t="s">
        <v>3216</v>
      </c>
      <c r="B14" s="121">
        <f t="shared" si="0"/>
        <v>2</v>
      </c>
      <c r="C14" s="121"/>
      <c r="D14" s="121"/>
      <c r="E14" s="121"/>
      <c r="F14" s="121">
        <v>1</v>
      </c>
      <c r="G14" s="121">
        <v>1</v>
      </c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</row>
    <row r="15" spans="1:26" ht="18.75">
      <c r="A15" s="277" t="s">
        <v>3254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</row>
    <row r="16" spans="1:26" ht="18.75">
      <c r="A16" s="24"/>
      <c r="B16" s="121">
        <f t="shared" ref="B16:B22" si="1">COUNTA(C16:Z16)</f>
        <v>1</v>
      </c>
      <c r="C16" s="283"/>
      <c r="D16" s="283"/>
      <c r="E16" s="282"/>
      <c r="F16" s="282"/>
      <c r="G16" s="282" t="s">
        <v>3826</v>
      </c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</row>
    <row r="17" spans="1:26" ht="27">
      <c r="A17" s="24"/>
      <c r="B17" s="121">
        <f t="shared" si="1"/>
        <v>1</v>
      </c>
      <c r="C17" s="283"/>
      <c r="D17" s="283"/>
      <c r="E17" s="282"/>
      <c r="F17" s="282"/>
      <c r="G17" s="282" t="s">
        <v>3828</v>
      </c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27">
      <c r="A18" s="24"/>
      <c r="B18" s="121">
        <f t="shared" si="1"/>
        <v>1</v>
      </c>
      <c r="C18" s="283"/>
      <c r="D18" s="283"/>
      <c r="E18" s="282"/>
      <c r="F18" s="282"/>
      <c r="G18" s="282" t="s">
        <v>3831</v>
      </c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8.75">
      <c r="A19" s="24"/>
      <c r="B19" s="121">
        <f t="shared" si="1"/>
        <v>1</v>
      </c>
      <c r="C19" s="283"/>
      <c r="D19" s="283"/>
      <c r="E19" s="282"/>
      <c r="F19" s="282"/>
      <c r="G19" s="282" t="s">
        <v>3834</v>
      </c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8.75">
      <c r="A20" s="24"/>
      <c r="B20" s="121">
        <f t="shared" si="1"/>
        <v>1</v>
      </c>
      <c r="C20" s="283"/>
      <c r="D20" s="283"/>
      <c r="E20" s="282"/>
      <c r="F20" s="282"/>
      <c r="G20" s="282" t="s">
        <v>3292</v>
      </c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8.75">
      <c r="A21" s="24"/>
      <c r="B21" s="121">
        <f t="shared" si="1"/>
        <v>1</v>
      </c>
      <c r="C21" s="283"/>
      <c r="D21" s="283"/>
      <c r="E21" s="282"/>
      <c r="F21" s="282"/>
      <c r="G21" s="282" t="s">
        <v>3838</v>
      </c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8.75">
      <c r="A22" s="24"/>
      <c r="B22" s="121">
        <f t="shared" si="1"/>
        <v>1</v>
      </c>
      <c r="C22" s="283"/>
      <c r="D22" s="283"/>
      <c r="E22" s="282"/>
      <c r="F22" s="282"/>
      <c r="G22" s="282" t="s">
        <v>3840</v>
      </c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outlinePr summaryBelow="0" summaryRight="0"/>
    <pageSetUpPr fitToPage="1"/>
  </sheetPr>
  <dimension ref="A1:AM414"/>
  <sheetViews>
    <sheetView zoomScale="120" zoomScaleNormal="120" workbookViewId="0">
      <pane xSplit="6" ySplit="1" topLeftCell="G317" activePane="bottomRight" state="frozen"/>
      <selection pane="topRight" activeCell="G1" sqref="G1"/>
      <selection pane="bottomLeft" activeCell="A2" sqref="A2"/>
      <selection pane="bottomRight" activeCell="F338" sqref="F338"/>
    </sheetView>
  </sheetViews>
  <sheetFormatPr defaultColWidth="14.42578125" defaultRowHeight="15.75" customHeight="1"/>
  <cols>
    <col min="1" max="1" width="19" customWidth="1"/>
    <col min="2" max="2" width="12" customWidth="1"/>
    <col min="3" max="3" width="10.85546875" customWidth="1"/>
    <col min="4" max="4" width="15.140625" customWidth="1"/>
    <col min="5" max="5" width="6.85546875" customWidth="1"/>
    <col min="6" max="6" width="57.42578125" customWidth="1"/>
    <col min="7" max="7" width="10.5703125" customWidth="1"/>
    <col min="8" max="9" width="10.85546875" customWidth="1"/>
    <col min="10" max="10" width="21.28515625" customWidth="1"/>
    <col min="11" max="11" width="12.7109375" customWidth="1"/>
    <col min="12" max="12" width="21" customWidth="1"/>
    <col min="13" max="13" width="42" customWidth="1"/>
    <col min="14" max="19" width="13.28515625" customWidth="1"/>
    <col min="20" max="21" width="8.5703125" customWidth="1"/>
    <col min="22" max="22" width="10" customWidth="1"/>
    <col min="23" max="23" width="12.5703125" customWidth="1"/>
    <col min="24" max="25" width="10.42578125" customWidth="1"/>
    <col min="26" max="39" width="13.28515625" customWidth="1"/>
  </cols>
  <sheetData>
    <row r="1" spans="1:39" ht="36.75" customHeight="1">
      <c r="A1" s="5" t="s">
        <v>0</v>
      </c>
      <c r="B1" s="8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3" t="s">
        <v>6</v>
      </c>
      <c r="H1" s="3" t="s">
        <v>7</v>
      </c>
      <c r="I1" s="3" t="s">
        <v>6</v>
      </c>
      <c r="J1" s="3" t="s">
        <v>8</v>
      </c>
      <c r="K1" s="11" t="s">
        <v>9</v>
      </c>
      <c r="L1" s="14" t="s">
        <v>10</v>
      </c>
      <c r="M1" s="16" t="s">
        <v>11</v>
      </c>
      <c r="N1" s="18" t="s">
        <v>12</v>
      </c>
      <c r="O1" s="18" t="s">
        <v>13</v>
      </c>
      <c r="P1" s="18" t="s">
        <v>14</v>
      </c>
      <c r="Q1" s="18" t="s">
        <v>15</v>
      </c>
      <c r="R1" s="18" t="s">
        <v>16</v>
      </c>
      <c r="S1" s="18" t="s">
        <v>17</v>
      </c>
      <c r="T1" s="19" t="s">
        <v>18</v>
      </c>
      <c r="U1" s="19" t="s">
        <v>19</v>
      </c>
      <c r="V1" s="23" t="s">
        <v>20</v>
      </c>
      <c r="W1" s="25" t="s">
        <v>20</v>
      </c>
      <c r="X1" s="33" t="s">
        <v>21</v>
      </c>
      <c r="Y1" s="33" t="s">
        <v>22</v>
      </c>
      <c r="Z1" s="33" t="s">
        <v>23</v>
      </c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</row>
    <row r="2" spans="1:39">
      <c r="A2" s="35"/>
      <c r="B2" s="37">
        <v>2300</v>
      </c>
      <c r="C2" s="367"/>
      <c r="D2" s="498" t="s">
        <v>29</v>
      </c>
      <c r="E2" s="499"/>
      <c r="F2" s="499"/>
      <c r="G2" s="41"/>
      <c r="H2" s="42"/>
      <c r="I2" s="41"/>
      <c r="J2" s="43"/>
      <c r="K2" s="38"/>
      <c r="L2" s="38"/>
      <c r="M2" s="41"/>
      <c r="N2" s="35"/>
      <c r="O2" s="37"/>
      <c r="P2" s="38"/>
      <c r="Q2" s="45"/>
      <c r="R2" s="41"/>
      <c r="S2" s="43"/>
      <c r="T2" s="41"/>
      <c r="U2" s="41"/>
      <c r="V2" s="37" t="s">
        <v>2134</v>
      </c>
      <c r="W2" s="37">
        <v>18</v>
      </c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</row>
    <row r="3" spans="1:39">
      <c r="A3" s="50"/>
      <c r="B3" s="52">
        <v>2320</v>
      </c>
      <c r="C3" s="53" t="s">
        <v>37</v>
      </c>
      <c r="D3" s="55" t="s">
        <v>38</v>
      </c>
      <c r="E3" s="53">
        <v>59</v>
      </c>
      <c r="F3" s="56" t="s">
        <v>56</v>
      </c>
      <c r="G3" s="57" t="s">
        <v>28</v>
      </c>
      <c r="H3" s="58">
        <v>3900000</v>
      </c>
      <c r="I3" s="59"/>
      <c r="J3" s="60" t="s">
        <v>2356</v>
      </c>
      <c r="K3" s="61"/>
      <c r="L3" s="62"/>
      <c r="M3" s="64"/>
      <c r="N3" s="65"/>
      <c r="O3" s="65"/>
      <c r="P3" s="65"/>
      <c r="Q3" s="65"/>
      <c r="R3" s="65"/>
      <c r="S3" s="65"/>
      <c r="T3" s="67"/>
      <c r="U3" s="67">
        <v>2557</v>
      </c>
      <c r="V3" s="68" t="s">
        <v>2134</v>
      </c>
      <c r="W3" s="69" t="e">
        <v>#REF!</v>
      </c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</row>
    <row r="4" spans="1:39">
      <c r="A4" s="50"/>
      <c r="B4" s="52">
        <v>2320</v>
      </c>
      <c r="C4" s="53" t="s">
        <v>37</v>
      </c>
      <c r="D4" s="55" t="s">
        <v>54</v>
      </c>
      <c r="E4" s="53">
        <v>60</v>
      </c>
      <c r="F4" s="56" t="s">
        <v>55</v>
      </c>
      <c r="G4" s="57" t="s">
        <v>28</v>
      </c>
      <c r="H4" s="58">
        <v>8100000</v>
      </c>
      <c r="I4" s="59"/>
      <c r="J4" s="60" t="s">
        <v>2356</v>
      </c>
      <c r="K4" s="61"/>
      <c r="L4" s="62"/>
      <c r="M4" s="64"/>
      <c r="N4" s="65"/>
      <c r="O4" s="65"/>
      <c r="P4" s="65"/>
      <c r="Q4" s="65"/>
      <c r="R4" s="65"/>
      <c r="S4" s="65"/>
      <c r="T4" s="67"/>
      <c r="U4" s="67">
        <v>2558</v>
      </c>
      <c r="V4" s="68" t="s">
        <v>2134</v>
      </c>
      <c r="W4" s="69" t="e">
        <v>#REF!</v>
      </c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</row>
    <row r="5" spans="1:39">
      <c r="A5" s="50"/>
      <c r="B5" s="52">
        <v>2320</v>
      </c>
      <c r="C5" s="53" t="s">
        <v>37</v>
      </c>
      <c r="D5" s="55" t="s">
        <v>59</v>
      </c>
      <c r="E5" s="53">
        <v>59</v>
      </c>
      <c r="F5" s="56" t="s">
        <v>60</v>
      </c>
      <c r="G5" s="57" t="s">
        <v>28</v>
      </c>
      <c r="H5" s="58">
        <v>3210000</v>
      </c>
      <c r="I5" s="59"/>
      <c r="J5" s="60" t="s">
        <v>2356</v>
      </c>
      <c r="K5" s="61"/>
      <c r="L5" s="62"/>
      <c r="M5" s="64"/>
      <c r="N5" s="65"/>
      <c r="O5" s="65"/>
      <c r="P5" s="65"/>
      <c r="Q5" s="65"/>
      <c r="R5" s="65"/>
      <c r="S5" s="65"/>
      <c r="T5" s="67"/>
      <c r="U5" s="67">
        <v>2557</v>
      </c>
      <c r="V5" s="68" t="s">
        <v>2134</v>
      </c>
      <c r="W5" s="69" t="e">
        <v>#REF!</v>
      </c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</row>
    <row r="6" spans="1:39">
      <c r="A6" s="50"/>
      <c r="B6" s="52">
        <v>2320</v>
      </c>
      <c r="C6" s="53" t="s">
        <v>63</v>
      </c>
      <c r="D6" s="55" t="s">
        <v>64</v>
      </c>
      <c r="E6" s="53">
        <v>62</v>
      </c>
      <c r="F6" s="56" t="s">
        <v>69</v>
      </c>
      <c r="G6" s="57" t="s">
        <v>28</v>
      </c>
      <c r="H6" s="58">
        <v>2100000</v>
      </c>
      <c r="I6" s="59"/>
      <c r="J6" s="60" t="s">
        <v>2356</v>
      </c>
      <c r="K6" s="61"/>
      <c r="L6" s="62"/>
      <c r="M6" s="64"/>
      <c r="N6" s="65"/>
      <c r="O6" s="65"/>
      <c r="P6" s="65"/>
      <c r="Q6" s="65"/>
      <c r="R6" s="65"/>
      <c r="S6" s="65"/>
      <c r="T6" s="67"/>
      <c r="U6" s="67"/>
      <c r="V6" s="68" t="s">
        <v>2134</v>
      </c>
      <c r="W6" s="69" t="e">
        <v>#REF!</v>
      </c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</row>
    <row r="7" spans="1:39">
      <c r="A7" s="50"/>
      <c r="B7" s="333">
        <v>4630</v>
      </c>
      <c r="C7" s="334" t="s">
        <v>63</v>
      </c>
      <c r="D7" s="335" t="s">
        <v>964</v>
      </c>
      <c r="E7" s="334">
        <v>56</v>
      </c>
      <c r="F7" s="336" t="s">
        <v>4110</v>
      </c>
      <c r="G7" s="337" t="s">
        <v>28</v>
      </c>
      <c r="H7" s="338"/>
      <c r="I7" s="339"/>
      <c r="J7" s="340" t="s">
        <v>2418</v>
      </c>
      <c r="K7" s="341" t="s">
        <v>2418</v>
      </c>
      <c r="L7" s="62"/>
      <c r="M7" s="64"/>
      <c r="N7" s="65"/>
      <c r="O7" s="65"/>
      <c r="P7" s="65"/>
      <c r="Q7" s="65"/>
      <c r="R7" s="65"/>
      <c r="S7" s="65"/>
      <c r="T7" s="67"/>
      <c r="U7" s="67"/>
      <c r="V7" s="68"/>
      <c r="W7" s="69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</row>
    <row r="8" spans="1:39">
      <c r="A8" s="50"/>
      <c r="B8" s="52">
        <v>2320</v>
      </c>
      <c r="C8" s="53" t="s">
        <v>63</v>
      </c>
      <c r="D8" s="55" t="s">
        <v>81</v>
      </c>
      <c r="E8" s="53">
        <v>61</v>
      </c>
      <c r="F8" s="56" t="s">
        <v>82</v>
      </c>
      <c r="G8" s="57" t="s">
        <v>28</v>
      </c>
      <c r="H8" s="58">
        <v>12000000</v>
      </c>
      <c r="I8" s="59"/>
      <c r="J8" s="60" t="s">
        <v>2356</v>
      </c>
      <c r="K8" s="61"/>
      <c r="L8" s="62"/>
      <c r="M8" s="64"/>
      <c r="N8" s="65"/>
      <c r="O8" s="65"/>
      <c r="P8" s="65"/>
      <c r="Q8" s="65"/>
      <c r="R8" s="65"/>
      <c r="S8" s="65"/>
      <c r="T8" s="67"/>
      <c r="U8" s="67"/>
      <c r="V8" s="68" t="s">
        <v>2134</v>
      </c>
      <c r="W8" s="69" t="e">
        <v>#REF!</v>
      </c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</row>
    <row r="9" spans="1:39" ht="31.5">
      <c r="A9" s="50"/>
      <c r="B9" s="52">
        <v>2320</v>
      </c>
      <c r="C9" s="53" t="s">
        <v>63</v>
      </c>
      <c r="D9" s="55" t="s">
        <v>89</v>
      </c>
      <c r="E9" s="53">
        <v>56</v>
      </c>
      <c r="F9" s="56" t="s">
        <v>90</v>
      </c>
      <c r="G9" s="57" t="s">
        <v>28</v>
      </c>
      <c r="H9" s="58">
        <v>2800000</v>
      </c>
      <c r="I9" s="59"/>
      <c r="J9" s="60" t="s">
        <v>2356</v>
      </c>
      <c r="K9" s="61"/>
      <c r="L9" s="62"/>
      <c r="M9" s="64"/>
      <c r="N9" s="65"/>
      <c r="O9" s="65"/>
      <c r="P9" s="65"/>
      <c r="Q9" s="65"/>
      <c r="R9" s="65"/>
      <c r="S9" s="65"/>
      <c r="T9" s="67">
        <v>20</v>
      </c>
      <c r="U9" s="67">
        <v>2574</v>
      </c>
      <c r="V9" s="68" t="s">
        <v>2134</v>
      </c>
      <c r="W9" s="69" t="e">
        <v>#REF!</v>
      </c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</row>
    <row r="10" spans="1:39" ht="31.5">
      <c r="A10" s="50"/>
      <c r="B10" s="52">
        <v>2320</v>
      </c>
      <c r="C10" s="53" t="s">
        <v>63</v>
      </c>
      <c r="D10" s="55" t="s">
        <v>95</v>
      </c>
      <c r="E10" s="53">
        <v>56</v>
      </c>
      <c r="F10" s="56" t="s">
        <v>96</v>
      </c>
      <c r="G10" s="57" t="s">
        <v>28</v>
      </c>
      <c r="H10" s="58">
        <v>2900000</v>
      </c>
      <c r="I10" s="59"/>
      <c r="J10" s="60" t="s">
        <v>2356</v>
      </c>
      <c r="K10" s="61"/>
      <c r="L10" s="62"/>
      <c r="M10" s="64"/>
      <c r="N10" s="65"/>
      <c r="O10" s="65"/>
      <c r="P10" s="65"/>
      <c r="Q10" s="65"/>
      <c r="R10" s="65"/>
      <c r="S10" s="65"/>
      <c r="T10" s="67">
        <v>20</v>
      </c>
      <c r="U10" s="67">
        <v>2574</v>
      </c>
      <c r="V10" s="68" t="s">
        <v>2134</v>
      </c>
      <c r="W10" s="69" t="e">
        <v>#REF!</v>
      </c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</row>
    <row r="11" spans="1:39">
      <c r="A11" s="50"/>
      <c r="B11" s="342">
        <v>2320</v>
      </c>
      <c r="C11" s="343" t="s">
        <v>63</v>
      </c>
      <c r="D11" s="344" t="s">
        <v>99</v>
      </c>
      <c r="E11" s="343">
        <v>56</v>
      </c>
      <c r="F11" s="345" t="s">
        <v>100</v>
      </c>
      <c r="G11" s="346" t="s">
        <v>28</v>
      </c>
      <c r="H11" s="347">
        <v>6500000</v>
      </c>
      <c r="I11" s="348"/>
      <c r="J11" s="349" t="s">
        <v>2356</v>
      </c>
      <c r="K11" s="61"/>
      <c r="L11" s="62"/>
      <c r="M11" s="64"/>
      <c r="N11" s="65"/>
      <c r="O11" s="65"/>
      <c r="P11" s="65"/>
      <c r="Q11" s="65"/>
      <c r="R11" s="65"/>
      <c r="S11" s="65"/>
      <c r="T11" s="67">
        <v>20</v>
      </c>
      <c r="U11" s="67">
        <v>2574</v>
      </c>
      <c r="V11" s="68" t="s">
        <v>2134</v>
      </c>
      <c r="W11" s="69" t="e">
        <v>#REF!</v>
      </c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</row>
    <row r="12" spans="1:39">
      <c r="A12" s="50"/>
      <c r="B12" s="342">
        <v>2320</v>
      </c>
      <c r="C12" s="343" t="s">
        <v>63</v>
      </c>
      <c r="D12" s="344" t="s">
        <v>119</v>
      </c>
      <c r="E12" s="343">
        <v>62</v>
      </c>
      <c r="F12" s="345" t="s">
        <v>120</v>
      </c>
      <c r="G12" s="346" t="s">
        <v>28</v>
      </c>
      <c r="H12" s="347">
        <v>950000</v>
      </c>
      <c r="I12" s="348"/>
      <c r="J12" s="349" t="s">
        <v>2356</v>
      </c>
      <c r="K12" s="61"/>
      <c r="L12" s="62"/>
      <c r="M12" s="64"/>
      <c r="N12" s="65"/>
      <c r="O12" s="65"/>
      <c r="P12" s="65"/>
      <c r="Q12" s="65"/>
      <c r="R12" s="65"/>
      <c r="S12" s="65"/>
      <c r="T12" s="67"/>
      <c r="U12" s="67"/>
      <c r="V12" s="68"/>
      <c r="W12" s="69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</row>
    <row r="13" spans="1:39">
      <c r="A13" s="50"/>
      <c r="B13" s="342">
        <v>2320</v>
      </c>
      <c r="C13" s="343" t="s">
        <v>63</v>
      </c>
      <c r="D13" s="344" t="s">
        <v>135</v>
      </c>
      <c r="E13" s="343">
        <v>57</v>
      </c>
      <c r="F13" s="345" t="s">
        <v>4111</v>
      </c>
      <c r="G13" s="346" t="s">
        <v>28</v>
      </c>
      <c r="H13" s="347">
        <v>982000</v>
      </c>
      <c r="I13" s="348"/>
      <c r="J13" s="349" t="s">
        <v>2356</v>
      </c>
      <c r="K13" s="61"/>
      <c r="L13" s="62"/>
      <c r="M13" s="64"/>
      <c r="N13" s="65"/>
      <c r="O13" s="65"/>
      <c r="P13" s="65"/>
      <c r="Q13" s="65"/>
      <c r="R13" s="65"/>
      <c r="S13" s="65"/>
      <c r="T13" s="67"/>
      <c r="U13" s="67"/>
      <c r="V13" s="68"/>
      <c r="W13" s="69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</row>
    <row r="14" spans="1:39">
      <c r="A14" s="50"/>
      <c r="B14" s="342">
        <v>2320</v>
      </c>
      <c r="C14" s="343" t="s">
        <v>63</v>
      </c>
      <c r="D14" s="344" t="s">
        <v>109</v>
      </c>
      <c r="E14" s="343">
        <v>54</v>
      </c>
      <c r="F14" s="345" t="s">
        <v>110</v>
      </c>
      <c r="G14" s="346" t="s">
        <v>28</v>
      </c>
      <c r="H14" s="347">
        <v>1100000</v>
      </c>
      <c r="I14" s="348"/>
      <c r="J14" s="349" t="s">
        <v>2356</v>
      </c>
      <c r="K14" s="61"/>
      <c r="L14" s="62"/>
      <c r="M14" s="64"/>
      <c r="N14" s="65"/>
      <c r="O14" s="65"/>
      <c r="P14" s="65"/>
      <c r="Q14" s="65"/>
      <c r="R14" s="65"/>
      <c r="S14" s="65"/>
      <c r="T14" s="67"/>
      <c r="U14" s="67"/>
      <c r="V14" s="68"/>
      <c r="W14" s="69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</row>
    <row r="15" spans="1:39">
      <c r="A15" s="50"/>
      <c r="B15" s="342">
        <v>2320</v>
      </c>
      <c r="C15" s="343" t="s">
        <v>63</v>
      </c>
      <c r="D15" s="344" t="s">
        <v>115</v>
      </c>
      <c r="E15" s="343">
        <v>58</v>
      </c>
      <c r="F15" s="345" t="s">
        <v>116</v>
      </c>
      <c r="G15" s="346" t="s">
        <v>28</v>
      </c>
      <c r="H15" s="347">
        <v>1980000</v>
      </c>
      <c r="I15" s="348"/>
      <c r="J15" s="349" t="s">
        <v>2356</v>
      </c>
      <c r="K15" s="61"/>
      <c r="L15" s="62"/>
      <c r="M15" s="64"/>
      <c r="N15" s="65"/>
      <c r="O15" s="65"/>
      <c r="P15" s="65"/>
      <c r="Q15" s="65"/>
      <c r="R15" s="65"/>
      <c r="S15" s="65"/>
      <c r="T15" s="67">
        <v>20</v>
      </c>
      <c r="U15" s="67">
        <v>2576</v>
      </c>
      <c r="V15" s="68" t="s">
        <v>2134</v>
      </c>
      <c r="W15" s="69" t="e">
        <v>#REF!</v>
      </c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</row>
    <row r="16" spans="1:39">
      <c r="A16" s="50"/>
      <c r="B16" s="342">
        <v>2320</v>
      </c>
      <c r="C16" s="343" t="s">
        <v>63</v>
      </c>
      <c r="D16" s="344" t="s">
        <v>105</v>
      </c>
      <c r="E16" s="343">
        <v>58</v>
      </c>
      <c r="F16" s="345" t="s">
        <v>106</v>
      </c>
      <c r="G16" s="346" t="s">
        <v>28</v>
      </c>
      <c r="H16" s="347">
        <v>4800000</v>
      </c>
      <c r="I16" s="348"/>
      <c r="J16" s="349" t="s">
        <v>2356</v>
      </c>
      <c r="K16" s="61"/>
      <c r="L16" s="62"/>
      <c r="M16" s="64"/>
      <c r="N16" s="65"/>
      <c r="O16" s="65"/>
      <c r="P16" s="65"/>
      <c r="Q16" s="65"/>
      <c r="R16" s="65"/>
      <c r="S16" s="65"/>
      <c r="T16" s="67">
        <v>20</v>
      </c>
      <c r="U16" s="67">
        <v>2572</v>
      </c>
      <c r="V16" s="68" t="s">
        <v>2134</v>
      </c>
      <c r="W16" s="69" t="e">
        <v>#REF!</v>
      </c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</row>
    <row r="17" spans="1:39">
      <c r="A17" s="50"/>
      <c r="B17" s="342">
        <v>2320</v>
      </c>
      <c r="C17" s="343" t="s">
        <v>63</v>
      </c>
      <c r="D17" s="344" t="s">
        <v>131</v>
      </c>
      <c r="E17" s="343">
        <v>55</v>
      </c>
      <c r="F17" s="345" t="s">
        <v>132</v>
      </c>
      <c r="G17" s="346" t="s">
        <v>28</v>
      </c>
      <c r="H17" s="347">
        <v>2100000</v>
      </c>
      <c r="I17" s="348"/>
      <c r="J17" s="349" t="s">
        <v>2356</v>
      </c>
      <c r="K17" s="61"/>
      <c r="L17" s="62"/>
      <c r="M17" s="64"/>
      <c r="N17" s="65"/>
      <c r="O17" s="65"/>
      <c r="P17" s="65"/>
      <c r="Q17" s="65"/>
      <c r="R17" s="65"/>
      <c r="S17" s="65"/>
      <c r="T17" s="67"/>
      <c r="U17" s="67"/>
      <c r="V17" s="68" t="s">
        <v>2134</v>
      </c>
      <c r="W17" s="69" t="e">
        <v>#REF!</v>
      </c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</row>
    <row r="18" spans="1:39">
      <c r="A18" s="50"/>
      <c r="B18" s="342">
        <v>2320</v>
      </c>
      <c r="C18" s="343" t="s">
        <v>63</v>
      </c>
      <c r="D18" s="344" t="s">
        <v>125</v>
      </c>
      <c r="E18" s="343">
        <v>58</v>
      </c>
      <c r="F18" s="345" t="s">
        <v>126</v>
      </c>
      <c r="G18" s="346" t="s">
        <v>28</v>
      </c>
      <c r="H18" s="347">
        <v>2400000</v>
      </c>
      <c r="I18" s="348"/>
      <c r="J18" s="349" t="s">
        <v>2356</v>
      </c>
      <c r="K18" s="61"/>
      <c r="L18" s="62"/>
      <c r="M18" s="64"/>
      <c r="N18" s="65"/>
      <c r="O18" s="65"/>
      <c r="P18" s="65"/>
      <c r="Q18" s="65"/>
      <c r="R18" s="65"/>
      <c r="S18" s="65"/>
      <c r="T18" s="67">
        <v>10</v>
      </c>
      <c r="U18" s="67">
        <v>2566</v>
      </c>
      <c r="V18" s="68" t="s">
        <v>2134</v>
      </c>
      <c r="W18" s="69" t="e">
        <v>#REF!</v>
      </c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</row>
    <row r="19" spans="1:39">
      <c r="A19" s="50"/>
      <c r="B19" s="52">
        <v>2320</v>
      </c>
      <c r="C19" s="53" t="s">
        <v>63</v>
      </c>
      <c r="D19" s="55" t="s">
        <v>144</v>
      </c>
      <c r="E19" s="53">
        <v>62</v>
      </c>
      <c r="F19" s="56" t="s">
        <v>145</v>
      </c>
      <c r="G19" s="57" t="s">
        <v>28</v>
      </c>
      <c r="H19" s="58">
        <v>950000</v>
      </c>
      <c r="I19" s="59"/>
      <c r="J19" s="60" t="s">
        <v>2356</v>
      </c>
      <c r="K19" s="61"/>
      <c r="L19" s="62"/>
      <c r="M19" s="64"/>
      <c r="N19" s="65"/>
      <c r="O19" s="65"/>
      <c r="P19" s="65"/>
      <c r="Q19" s="65"/>
      <c r="R19" s="65"/>
      <c r="S19" s="65"/>
      <c r="T19" s="67"/>
      <c r="U19" s="67"/>
      <c r="V19" s="68" t="s">
        <v>2134</v>
      </c>
      <c r="W19" s="69" t="e">
        <v>#REF!</v>
      </c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</row>
    <row r="20" spans="1:39">
      <c r="A20" s="50"/>
      <c r="B20" s="52">
        <v>2320</v>
      </c>
      <c r="C20" s="53" t="s">
        <v>63</v>
      </c>
      <c r="D20" s="55" t="s">
        <v>162</v>
      </c>
      <c r="E20" s="53">
        <v>56</v>
      </c>
      <c r="F20" s="56" t="s">
        <v>163</v>
      </c>
      <c r="G20" s="57" t="s">
        <v>28</v>
      </c>
      <c r="H20" s="58">
        <v>45000000</v>
      </c>
      <c r="I20" s="59"/>
      <c r="J20" s="60" t="s">
        <v>2356</v>
      </c>
      <c r="K20" s="61"/>
      <c r="L20" s="62"/>
      <c r="M20" s="64"/>
      <c r="N20" s="65"/>
      <c r="O20" s="65"/>
      <c r="P20" s="65"/>
      <c r="Q20" s="65"/>
      <c r="R20" s="65"/>
      <c r="S20" s="65"/>
      <c r="T20" s="67"/>
      <c r="U20" s="67"/>
      <c r="V20" s="68"/>
      <c r="W20" s="69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</row>
    <row r="21" spans="1:39">
      <c r="A21" s="50"/>
      <c r="B21" s="52">
        <v>2320</v>
      </c>
      <c r="C21" s="53" t="s">
        <v>63</v>
      </c>
      <c r="D21" s="55" t="s">
        <v>153</v>
      </c>
      <c r="E21" s="53">
        <v>56</v>
      </c>
      <c r="F21" s="56" t="s">
        <v>154</v>
      </c>
      <c r="G21" s="57" t="s">
        <v>28</v>
      </c>
      <c r="H21" s="58">
        <v>70000000</v>
      </c>
      <c r="I21" s="59"/>
      <c r="J21" s="60" t="s">
        <v>2356</v>
      </c>
      <c r="K21" s="61"/>
      <c r="L21" s="62"/>
      <c r="M21" s="64"/>
      <c r="N21" s="65"/>
      <c r="O21" s="65"/>
      <c r="P21" s="65"/>
      <c r="Q21" s="65"/>
      <c r="R21" s="65"/>
      <c r="S21" s="65"/>
      <c r="T21" s="67">
        <v>20</v>
      </c>
      <c r="U21" s="67">
        <v>2574</v>
      </c>
      <c r="V21" s="68" t="s">
        <v>2134</v>
      </c>
      <c r="W21" s="69" t="e">
        <v>#REF!</v>
      </c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</row>
    <row r="22" spans="1:39">
      <c r="A22" s="35"/>
      <c r="B22" s="37">
        <v>2400</v>
      </c>
      <c r="C22" s="38"/>
      <c r="D22" s="498" t="s">
        <v>4077</v>
      </c>
      <c r="E22" s="499"/>
      <c r="F22" s="499"/>
      <c r="G22" s="41"/>
      <c r="H22" s="42"/>
      <c r="I22" s="41"/>
      <c r="J22" s="43"/>
      <c r="K22" s="38"/>
      <c r="L22" s="38"/>
      <c r="M22" s="41"/>
      <c r="N22" s="35"/>
      <c r="O22" s="37"/>
      <c r="P22" s="38"/>
      <c r="Q22" s="45"/>
      <c r="R22" s="41"/>
      <c r="S22" s="43"/>
      <c r="T22" s="41"/>
      <c r="U22" s="41"/>
      <c r="V22" s="37" t="s">
        <v>2136</v>
      </c>
      <c r="W22" s="37">
        <v>2</v>
      </c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</row>
    <row r="23" spans="1:39">
      <c r="A23" s="50"/>
      <c r="B23" s="52">
        <v>2420</v>
      </c>
      <c r="C23" s="53" t="s">
        <v>63</v>
      </c>
      <c r="D23" s="55" t="s">
        <v>172</v>
      </c>
      <c r="E23" s="53">
        <v>56</v>
      </c>
      <c r="F23" s="56" t="s">
        <v>173</v>
      </c>
      <c r="G23" s="57" t="s">
        <v>28</v>
      </c>
      <c r="H23" s="58">
        <v>740000</v>
      </c>
      <c r="I23" s="59"/>
      <c r="J23" s="60" t="s">
        <v>2358</v>
      </c>
      <c r="K23" s="80" t="s">
        <v>2358</v>
      </c>
      <c r="L23" s="62"/>
      <c r="M23" s="64"/>
      <c r="N23" s="65"/>
      <c r="O23" s="65"/>
      <c r="P23" s="65"/>
      <c r="Q23" s="65"/>
      <c r="R23" s="65"/>
      <c r="S23" s="65"/>
      <c r="T23" s="67">
        <v>20</v>
      </c>
      <c r="U23" s="67">
        <v>2574</v>
      </c>
      <c r="V23" s="68" t="s">
        <v>2136</v>
      </c>
      <c r="W23" s="69" t="e">
        <v>#REF!</v>
      </c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</row>
    <row r="24" spans="1:39" ht="31.5">
      <c r="A24" s="50"/>
      <c r="B24" s="52">
        <v>2420</v>
      </c>
      <c r="C24" s="53" t="s">
        <v>63</v>
      </c>
      <c r="D24" s="55" t="s">
        <v>181</v>
      </c>
      <c r="E24" s="53">
        <v>58</v>
      </c>
      <c r="F24" s="56" t="s">
        <v>182</v>
      </c>
      <c r="G24" s="57" t="s">
        <v>28</v>
      </c>
      <c r="H24" s="58">
        <v>1400000</v>
      </c>
      <c r="I24" s="59"/>
      <c r="J24" s="60" t="s">
        <v>2358</v>
      </c>
      <c r="K24" s="61"/>
      <c r="L24" s="62"/>
      <c r="M24" s="64"/>
      <c r="N24" s="65"/>
      <c r="O24" s="65"/>
      <c r="P24" s="65"/>
      <c r="Q24" s="65"/>
      <c r="R24" s="65"/>
      <c r="S24" s="65"/>
      <c r="T24" s="67">
        <v>20</v>
      </c>
      <c r="U24" s="67">
        <v>2576</v>
      </c>
      <c r="V24" s="68" t="s">
        <v>2136</v>
      </c>
      <c r="W24" s="69" t="e">
        <v>#REF!</v>
      </c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</row>
    <row r="25" spans="1:39">
      <c r="A25" s="35"/>
      <c r="B25" s="37">
        <v>2700</v>
      </c>
      <c r="C25" s="38"/>
      <c r="D25" s="498" t="s">
        <v>4078</v>
      </c>
      <c r="E25" s="499"/>
      <c r="F25" s="499"/>
      <c r="G25" s="41"/>
      <c r="H25" s="42"/>
      <c r="I25" s="41"/>
      <c r="J25" s="43"/>
      <c r="K25" s="38"/>
      <c r="L25" s="38"/>
      <c r="M25" s="41"/>
      <c r="N25" s="35"/>
      <c r="O25" s="37"/>
      <c r="P25" s="38"/>
      <c r="Q25" s="45"/>
      <c r="R25" s="41"/>
      <c r="S25" s="43"/>
      <c r="T25" s="41"/>
      <c r="U25" s="41"/>
      <c r="V25" s="37" t="s">
        <v>2143</v>
      </c>
      <c r="W25" s="37">
        <v>0</v>
      </c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</row>
    <row r="26" spans="1:39">
      <c r="A26" s="35"/>
      <c r="B26" s="37">
        <v>3200</v>
      </c>
      <c r="C26" s="38"/>
      <c r="D26" s="498" t="s">
        <v>4079</v>
      </c>
      <c r="E26" s="499"/>
      <c r="F26" s="499"/>
      <c r="G26" s="41"/>
      <c r="H26" s="42"/>
      <c r="I26" s="41"/>
      <c r="J26" s="43"/>
      <c r="K26" s="38"/>
      <c r="L26" s="38"/>
      <c r="M26" s="41"/>
      <c r="N26" s="35"/>
      <c r="O26" s="37"/>
      <c r="P26" s="38"/>
      <c r="Q26" s="45"/>
      <c r="R26" s="41"/>
      <c r="S26" s="43"/>
      <c r="T26" s="41"/>
      <c r="U26" s="41"/>
      <c r="V26" s="37" t="s">
        <v>2154</v>
      </c>
      <c r="W26" s="37">
        <v>3</v>
      </c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</row>
    <row r="27" spans="1:39">
      <c r="A27" s="50"/>
      <c r="B27" s="52">
        <v>3220</v>
      </c>
      <c r="C27" s="53" t="s">
        <v>191</v>
      </c>
      <c r="D27" s="55" t="s">
        <v>192</v>
      </c>
      <c r="E27" s="53">
        <v>57</v>
      </c>
      <c r="F27" s="56" t="s">
        <v>193</v>
      </c>
      <c r="G27" s="57" t="s">
        <v>78</v>
      </c>
      <c r="H27" s="58">
        <v>75000</v>
      </c>
      <c r="I27" s="59"/>
      <c r="J27" s="60" t="s">
        <v>2367</v>
      </c>
      <c r="K27" s="80" t="s">
        <v>2367</v>
      </c>
      <c r="L27" s="62"/>
      <c r="M27" s="64"/>
      <c r="N27" s="65"/>
      <c r="O27" s="65"/>
      <c r="P27" s="65"/>
      <c r="Q27" s="65"/>
      <c r="R27" s="65"/>
      <c r="S27" s="65"/>
      <c r="T27" s="67">
        <v>15</v>
      </c>
      <c r="U27" s="67">
        <v>2570</v>
      </c>
      <c r="V27" s="68" t="s">
        <v>2154</v>
      </c>
      <c r="W27" s="69" t="e">
        <v>#REF!</v>
      </c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</row>
    <row r="28" spans="1:39">
      <c r="A28" s="50"/>
      <c r="B28" s="52">
        <v>3220</v>
      </c>
      <c r="C28" s="53" t="s">
        <v>191</v>
      </c>
      <c r="D28" s="55" t="s">
        <v>202</v>
      </c>
      <c r="E28" s="53">
        <v>58</v>
      </c>
      <c r="F28" s="56" t="s">
        <v>203</v>
      </c>
      <c r="G28" s="57" t="s">
        <v>78</v>
      </c>
      <c r="H28" s="58">
        <v>14500</v>
      </c>
      <c r="I28" s="59"/>
      <c r="J28" s="60" t="s">
        <v>2367</v>
      </c>
      <c r="K28" s="80" t="s">
        <v>2367</v>
      </c>
      <c r="L28" s="62"/>
      <c r="M28" s="64"/>
      <c r="N28" s="65"/>
      <c r="O28" s="65"/>
      <c r="P28" s="65"/>
      <c r="Q28" s="65"/>
      <c r="R28" s="65"/>
      <c r="S28" s="65"/>
      <c r="T28" s="67"/>
      <c r="U28" s="67">
        <v>2556</v>
      </c>
      <c r="V28" s="68" t="s">
        <v>2154</v>
      </c>
      <c r="W28" s="69" t="e">
        <v>#REF!</v>
      </c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</row>
    <row r="29" spans="1:39">
      <c r="A29" s="50"/>
      <c r="B29" s="52">
        <v>3230</v>
      </c>
      <c r="C29" s="53" t="s">
        <v>191</v>
      </c>
      <c r="D29" s="55" t="s">
        <v>208</v>
      </c>
      <c r="E29" s="53">
        <v>57</v>
      </c>
      <c r="F29" s="56" t="s">
        <v>209</v>
      </c>
      <c r="G29" s="57" t="s">
        <v>78</v>
      </c>
      <c r="H29" s="58">
        <v>35000</v>
      </c>
      <c r="I29" s="59"/>
      <c r="J29" s="60" t="s">
        <v>2368</v>
      </c>
      <c r="K29" s="80" t="s">
        <v>2368</v>
      </c>
      <c r="L29" s="62"/>
      <c r="M29" s="64"/>
      <c r="N29" s="65"/>
      <c r="O29" s="65"/>
      <c r="P29" s="65"/>
      <c r="Q29" s="65"/>
      <c r="R29" s="65"/>
      <c r="S29" s="65"/>
      <c r="T29" s="67">
        <v>15</v>
      </c>
      <c r="U29" s="67">
        <v>2570</v>
      </c>
      <c r="V29" s="68" t="s">
        <v>2154</v>
      </c>
      <c r="W29" s="69" t="e">
        <v>#REF!</v>
      </c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</row>
    <row r="30" spans="1:39">
      <c r="A30" s="35"/>
      <c r="B30" s="37">
        <v>3400</v>
      </c>
      <c r="C30" s="38"/>
      <c r="D30" s="498" t="s">
        <v>4080</v>
      </c>
      <c r="E30" s="499"/>
      <c r="F30" s="499"/>
      <c r="G30" s="41"/>
      <c r="H30" s="42"/>
      <c r="I30" s="41"/>
      <c r="J30" s="43"/>
      <c r="K30" s="38"/>
      <c r="L30" s="38"/>
      <c r="M30" s="41"/>
      <c r="N30" s="35"/>
      <c r="O30" s="37"/>
      <c r="P30" s="38"/>
      <c r="Q30" s="45"/>
      <c r="R30" s="41"/>
      <c r="S30" s="43"/>
      <c r="T30" s="41"/>
      <c r="U30" s="41"/>
      <c r="V30" s="37" t="s">
        <v>2158</v>
      </c>
      <c r="W30" s="37">
        <v>11</v>
      </c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</row>
    <row r="31" spans="1:39">
      <c r="A31" s="50"/>
      <c r="B31" s="52">
        <v>3405</v>
      </c>
      <c r="C31" s="53" t="s">
        <v>191</v>
      </c>
      <c r="D31" s="55" t="s">
        <v>220</v>
      </c>
      <c r="E31" s="53">
        <v>52</v>
      </c>
      <c r="F31" s="56" t="s">
        <v>221</v>
      </c>
      <c r="G31" s="57" t="s">
        <v>78</v>
      </c>
      <c r="H31" s="58">
        <v>8600</v>
      </c>
      <c r="I31" s="59"/>
      <c r="J31" s="60" t="s">
        <v>2369</v>
      </c>
      <c r="K31" s="80" t="s">
        <v>2369</v>
      </c>
      <c r="L31" s="62"/>
      <c r="M31" s="64"/>
      <c r="N31" s="65"/>
      <c r="O31" s="65"/>
      <c r="P31" s="65"/>
      <c r="Q31" s="65"/>
      <c r="R31" s="65"/>
      <c r="S31" s="65"/>
      <c r="T31" s="67">
        <v>15</v>
      </c>
      <c r="U31" s="67">
        <v>2565</v>
      </c>
      <c r="V31" s="68" t="s">
        <v>2158</v>
      </c>
      <c r="W31" s="69" t="e">
        <v>#REF!</v>
      </c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</row>
    <row r="32" spans="1:39">
      <c r="A32" s="50"/>
      <c r="B32" s="52">
        <v>3413</v>
      </c>
      <c r="C32" s="53" t="s">
        <v>191</v>
      </c>
      <c r="D32" s="55" t="s">
        <v>226</v>
      </c>
      <c r="E32" s="53">
        <v>52</v>
      </c>
      <c r="F32" s="56" t="s">
        <v>227</v>
      </c>
      <c r="G32" s="57" t="s">
        <v>78</v>
      </c>
      <c r="H32" s="58">
        <v>15000</v>
      </c>
      <c r="I32" s="59"/>
      <c r="J32" s="60" t="s">
        <v>2371</v>
      </c>
      <c r="K32" s="80" t="s">
        <v>2371</v>
      </c>
      <c r="L32" s="62"/>
      <c r="M32" s="64"/>
      <c r="N32" s="65"/>
      <c r="O32" s="65"/>
      <c r="P32" s="65"/>
      <c r="Q32" s="65"/>
      <c r="R32" s="65"/>
      <c r="S32" s="65"/>
      <c r="T32" s="67">
        <v>15</v>
      </c>
      <c r="U32" s="67">
        <v>2565</v>
      </c>
      <c r="V32" s="68" t="s">
        <v>2158</v>
      </c>
      <c r="W32" s="69" t="e">
        <v>#REF!</v>
      </c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</row>
    <row r="33" spans="1:39">
      <c r="A33" s="50"/>
      <c r="B33" s="52">
        <v>3416</v>
      </c>
      <c r="C33" s="53" t="s">
        <v>157</v>
      </c>
      <c r="D33" s="55" t="s">
        <v>232</v>
      </c>
      <c r="E33" s="53">
        <v>59</v>
      </c>
      <c r="F33" s="56" t="s">
        <v>233</v>
      </c>
      <c r="G33" s="57" t="s">
        <v>78</v>
      </c>
      <c r="H33" s="58">
        <v>550000</v>
      </c>
      <c r="I33" s="59"/>
      <c r="J33" s="60" t="s">
        <v>2374</v>
      </c>
      <c r="K33" s="61"/>
      <c r="L33" s="62"/>
      <c r="M33" s="64"/>
      <c r="N33" s="65"/>
      <c r="O33" s="65"/>
      <c r="P33" s="65"/>
      <c r="Q33" s="65"/>
      <c r="R33" s="65"/>
      <c r="S33" s="65"/>
      <c r="T33" s="67"/>
      <c r="U33" s="67">
        <v>2557</v>
      </c>
      <c r="V33" s="68" t="s">
        <v>2158</v>
      </c>
      <c r="W33" s="69" t="e">
        <v>#REF!</v>
      </c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</row>
    <row r="34" spans="1:39">
      <c r="A34" s="50"/>
      <c r="B34" s="52">
        <v>3431</v>
      </c>
      <c r="C34" s="53" t="s">
        <v>63</v>
      </c>
      <c r="D34" s="55" t="s">
        <v>237</v>
      </c>
      <c r="E34" s="53">
        <v>53</v>
      </c>
      <c r="F34" s="56" t="s">
        <v>239</v>
      </c>
      <c r="G34" s="57" t="s">
        <v>78</v>
      </c>
      <c r="H34" s="58">
        <v>175000</v>
      </c>
      <c r="I34" s="59"/>
      <c r="J34" s="60" t="s">
        <v>2377</v>
      </c>
      <c r="K34" s="80" t="s">
        <v>2377</v>
      </c>
      <c r="L34" s="62"/>
      <c r="M34" s="64"/>
      <c r="N34" s="65"/>
      <c r="O34" s="65"/>
      <c r="P34" s="65"/>
      <c r="Q34" s="65"/>
      <c r="R34" s="65"/>
      <c r="S34" s="65"/>
      <c r="T34" s="67">
        <v>15</v>
      </c>
      <c r="U34" s="67">
        <v>2566</v>
      </c>
      <c r="V34" s="68" t="s">
        <v>2158</v>
      </c>
      <c r="W34" s="69" t="e">
        <v>#REF!</v>
      </c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</row>
    <row r="35" spans="1:39">
      <c r="A35" s="50"/>
      <c r="B35" s="52">
        <v>3431</v>
      </c>
      <c r="C35" s="53" t="s">
        <v>157</v>
      </c>
      <c r="D35" s="55" t="s">
        <v>243</v>
      </c>
      <c r="E35" s="53">
        <v>55</v>
      </c>
      <c r="F35" s="56" t="s">
        <v>244</v>
      </c>
      <c r="G35" s="57" t="s">
        <v>78</v>
      </c>
      <c r="H35" s="58">
        <v>35000</v>
      </c>
      <c r="I35" s="59"/>
      <c r="J35" s="60" t="s">
        <v>2377</v>
      </c>
      <c r="K35" s="80" t="s">
        <v>2377</v>
      </c>
      <c r="L35" s="62"/>
      <c r="M35" s="64"/>
      <c r="N35" s="65"/>
      <c r="O35" s="65"/>
      <c r="P35" s="65"/>
      <c r="Q35" s="65"/>
      <c r="R35" s="65"/>
      <c r="S35" s="65"/>
      <c r="T35" s="67">
        <v>15</v>
      </c>
      <c r="U35" s="67">
        <v>2568</v>
      </c>
      <c r="V35" s="68" t="s">
        <v>2158</v>
      </c>
      <c r="W35" s="69" t="e">
        <v>#REF!</v>
      </c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</row>
    <row r="36" spans="1:39">
      <c r="A36" s="50"/>
      <c r="B36" s="52">
        <v>3431</v>
      </c>
      <c r="C36" s="53" t="s">
        <v>157</v>
      </c>
      <c r="D36" s="55" t="s">
        <v>248</v>
      </c>
      <c r="E36" s="53">
        <v>54</v>
      </c>
      <c r="F36" s="56" t="s">
        <v>250</v>
      </c>
      <c r="G36" s="57" t="s">
        <v>78</v>
      </c>
      <c r="H36" s="58">
        <v>14000</v>
      </c>
      <c r="I36" s="59"/>
      <c r="J36" s="60" t="s">
        <v>2377</v>
      </c>
      <c r="K36" s="80" t="s">
        <v>2377</v>
      </c>
      <c r="L36" s="62"/>
      <c r="M36" s="64"/>
      <c r="N36" s="65"/>
      <c r="O36" s="65"/>
      <c r="P36" s="65"/>
      <c r="Q36" s="65"/>
      <c r="R36" s="65"/>
      <c r="S36" s="65"/>
      <c r="T36" s="67">
        <v>15</v>
      </c>
      <c r="U36" s="67">
        <v>2567</v>
      </c>
      <c r="V36" s="68" t="s">
        <v>2158</v>
      </c>
      <c r="W36" s="69" t="e">
        <v>#REF!</v>
      </c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</row>
    <row r="37" spans="1:39">
      <c r="A37" s="50"/>
      <c r="B37" s="342">
        <v>3432</v>
      </c>
      <c r="C37" s="343" t="s">
        <v>256</v>
      </c>
      <c r="D37" s="344" t="s">
        <v>263</v>
      </c>
      <c r="E37" s="343">
        <v>56</v>
      </c>
      <c r="F37" s="345" t="s">
        <v>265</v>
      </c>
      <c r="G37" s="346" t="s">
        <v>78</v>
      </c>
      <c r="H37" s="347">
        <v>100000</v>
      </c>
      <c r="I37" s="348"/>
      <c r="J37" s="349" t="s">
        <v>2378</v>
      </c>
      <c r="K37" s="350" t="s">
        <v>2378</v>
      </c>
      <c r="L37" s="62"/>
      <c r="M37" s="64"/>
      <c r="N37" s="65"/>
      <c r="O37" s="65"/>
      <c r="P37" s="65"/>
      <c r="Q37" s="65"/>
      <c r="R37" s="65"/>
      <c r="S37" s="65"/>
      <c r="T37" s="67"/>
      <c r="U37" s="67"/>
      <c r="V37" s="68"/>
      <c r="W37" s="69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</row>
    <row r="38" spans="1:39">
      <c r="A38" s="50"/>
      <c r="B38" s="342">
        <v>3432</v>
      </c>
      <c r="C38" s="343" t="s">
        <v>256</v>
      </c>
      <c r="D38" s="344" t="s">
        <v>257</v>
      </c>
      <c r="E38" s="343">
        <v>54</v>
      </c>
      <c r="F38" s="345" t="s">
        <v>258</v>
      </c>
      <c r="G38" s="346" t="s">
        <v>78</v>
      </c>
      <c r="H38" s="347">
        <v>220000</v>
      </c>
      <c r="I38" s="348"/>
      <c r="J38" s="349" t="s">
        <v>2378</v>
      </c>
      <c r="K38" s="350" t="s">
        <v>2378</v>
      </c>
      <c r="L38" s="62"/>
      <c r="M38" s="64"/>
      <c r="N38" s="65"/>
      <c r="O38" s="65"/>
      <c r="P38" s="65"/>
      <c r="Q38" s="65"/>
      <c r="R38" s="65"/>
      <c r="S38" s="65"/>
      <c r="T38" s="67">
        <v>15</v>
      </c>
      <c r="U38" s="67">
        <v>2567</v>
      </c>
      <c r="V38" s="68" t="s">
        <v>2158</v>
      </c>
      <c r="W38" s="69" t="e">
        <v>#REF!</v>
      </c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</row>
    <row r="39" spans="1:39">
      <c r="A39" s="50"/>
      <c r="B39" s="52">
        <v>3433</v>
      </c>
      <c r="C39" s="53" t="s">
        <v>157</v>
      </c>
      <c r="D39" s="55" t="s">
        <v>270</v>
      </c>
      <c r="E39" s="53">
        <v>54</v>
      </c>
      <c r="F39" s="56" t="s">
        <v>272</v>
      </c>
      <c r="G39" s="57" t="s">
        <v>273</v>
      </c>
      <c r="H39" s="58">
        <v>9500</v>
      </c>
      <c r="I39" s="59"/>
      <c r="J39" s="60" t="s">
        <v>2379</v>
      </c>
      <c r="K39" s="80" t="s">
        <v>2379</v>
      </c>
      <c r="L39" s="62"/>
      <c r="M39" s="64"/>
      <c r="N39" s="65"/>
      <c r="O39" s="65"/>
      <c r="P39" s="65"/>
      <c r="Q39" s="65"/>
      <c r="R39" s="65"/>
      <c r="S39" s="65"/>
      <c r="T39" s="67">
        <v>15</v>
      </c>
      <c r="U39" s="67">
        <v>2567</v>
      </c>
      <c r="V39" s="68" t="s">
        <v>2158</v>
      </c>
      <c r="W39" s="69" t="e">
        <v>#REF!</v>
      </c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</row>
    <row r="40" spans="1:39">
      <c r="A40" s="50"/>
      <c r="B40" s="52">
        <v>3433</v>
      </c>
      <c r="C40" s="53" t="s">
        <v>157</v>
      </c>
      <c r="D40" s="55" t="s">
        <v>278</v>
      </c>
      <c r="E40" s="53">
        <v>53</v>
      </c>
      <c r="F40" s="56" t="s">
        <v>279</v>
      </c>
      <c r="G40" s="57" t="s">
        <v>53</v>
      </c>
      <c r="H40" s="58">
        <v>26500</v>
      </c>
      <c r="I40" s="59"/>
      <c r="J40" s="60" t="s">
        <v>2379</v>
      </c>
      <c r="K40" s="80" t="s">
        <v>2379</v>
      </c>
      <c r="L40" s="62"/>
      <c r="M40" s="64"/>
      <c r="N40" s="65"/>
      <c r="O40" s="65"/>
      <c r="P40" s="65"/>
      <c r="Q40" s="65"/>
      <c r="R40" s="65"/>
      <c r="S40" s="65"/>
      <c r="T40" s="67">
        <v>15</v>
      </c>
      <c r="U40" s="67">
        <v>2566</v>
      </c>
      <c r="V40" s="68" t="s">
        <v>2158</v>
      </c>
      <c r="W40" s="69" t="e">
        <v>#REF!</v>
      </c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</row>
    <row r="41" spans="1:39">
      <c r="A41" s="50"/>
      <c r="B41" s="52">
        <v>3442</v>
      </c>
      <c r="C41" s="53" t="s">
        <v>63</v>
      </c>
      <c r="D41" s="55" t="s">
        <v>284</v>
      </c>
      <c r="E41" s="53">
        <v>58</v>
      </c>
      <c r="F41" s="56" t="s">
        <v>285</v>
      </c>
      <c r="G41" s="57" t="s">
        <v>78</v>
      </c>
      <c r="H41" s="58">
        <v>200000</v>
      </c>
      <c r="I41" s="59"/>
      <c r="J41" s="60" t="s">
        <v>2380</v>
      </c>
      <c r="K41" s="80" t="s">
        <v>2380</v>
      </c>
      <c r="L41" s="62"/>
      <c r="M41" s="64"/>
      <c r="N41" s="65"/>
      <c r="O41" s="65"/>
      <c r="P41" s="65"/>
      <c r="Q41" s="65"/>
      <c r="R41" s="65"/>
      <c r="S41" s="65"/>
      <c r="T41" s="67"/>
      <c r="U41" s="67">
        <v>2556</v>
      </c>
      <c r="V41" s="68" t="s">
        <v>2158</v>
      </c>
      <c r="W41" s="69" t="e">
        <v>#REF!</v>
      </c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</row>
    <row r="42" spans="1:39">
      <c r="A42" s="35"/>
      <c r="B42" s="37">
        <v>3700</v>
      </c>
      <c r="C42" s="38"/>
      <c r="D42" s="498" t="s">
        <v>4081</v>
      </c>
      <c r="E42" s="499"/>
      <c r="F42" s="499"/>
      <c r="G42" s="41"/>
      <c r="H42" s="42"/>
      <c r="I42" s="41"/>
      <c r="J42" s="43"/>
      <c r="K42" s="38"/>
      <c r="L42" s="38"/>
      <c r="M42" s="41"/>
      <c r="N42" s="35"/>
      <c r="O42" s="37"/>
      <c r="P42" s="38"/>
      <c r="Q42" s="45"/>
      <c r="R42" s="41"/>
      <c r="S42" s="43"/>
      <c r="T42" s="41"/>
      <c r="U42" s="41"/>
      <c r="V42" s="37" t="s">
        <v>2164</v>
      </c>
      <c r="W42" s="37">
        <v>6</v>
      </c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</row>
    <row r="43" spans="1:39">
      <c r="A43" s="50"/>
      <c r="B43" s="52">
        <v>3750</v>
      </c>
      <c r="C43" s="53" t="s">
        <v>256</v>
      </c>
      <c r="D43" s="55" t="s">
        <v>294</v>
      </c>
      <c r="E43" s="53">
        <v>61</v>
      </c>
      <c r="F43" s="56" t="s">
        <v>152</v>
      </c>
      <c r="G43" s="57" t="s">
        <v>78</v>
      </c>
      <c r="H43" s="58">
        <v>9500</v>
      </c>
      <c r="I43" s="59"/>
      <c r="J43" s="60" t="s">
        <v>2389</v>
      </c>
      <c r="K43" s="61"/>
      <c r="L43" s="62"/>
      <c r="M43" s="64"/>
      <c r="N43" s="65"/>
      <c r="O43" s="65"/>
      <c r="P43" s="65"/>
      <c r="Q43" s="65"/>
      <c r="R43" s="65"/>
      <c r="S43" s="65"/>
      <c r="T43" s="67"/>
      <c r="U43" s="67">
        <v>2559</v>
      </c>
      <c r="V43" s="68" t="s">
        <v>2164</v>
      </c>
      <c r="W43" s="69" t="e">
        <v>#REF!</v>
      </c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</row>
    <row r="44" spans="1:39">
      <c r="A44" s="50"/>
      <c r="B44" s="52">
        <v>3750</v>
      </c>
      <c r="C44" s="53" t="s">
        <v>256</v>
      </c>
      <c r="D44" s="55" t="s">
        <v>303</v>
      </c>
      <c r="E44" s="53">
        <v>53</v>
      </c>
      <c r="F44" s="56" t="s">
        <v>161</v>
      </c>
      <c r="G44" s="57" t="s">
        <v>78</v>
      </c>
      <c r="H44" s="58">
        <v>13000</v>
      </c>
      <c r="I44" s="59"/>
      <c r="J44" s="60" t="s">
        <v>2389</v>
      </c>
      <c r="K44" s="80" t="s">
        <v>2389</v>
      </c>
      <c r="L44" s="62"/>
      <c r="M44" s="64"/>
      <c r="N44" s="65"/>
      <c r="O44" s="65"/>
      <c r="P44" s="65"/>
      <c r="Q44" s="65"/>
      <c r="R44" s="65"/>
      <c r="S44" s="65"/>
      <c r="T44" s="67">
        <v>15</v>
      </c>
      <c r="U44" s="67">
        <v>2566</v>
      </c>
      <c r="V44" s="68" t="s">
        <v>2164</v>
      </c>
      <c r="W44" s="69" t="e">
        <v>#REF!</v>
      </c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</row>
    <row r="45" spans="1:39">
      <c r="A45" s="50"/>
      <c r="B45" s="52">
        <v>3750</v>
      </c>
      <c r="C45" s="53" t="s">
        <v>256</v>
      </c>
      <c r="D45" s="55" t="s">
        <v>310</v>
      </c>
      <c r="E45" s="53">
        <v>53</v>
      </c>
      <c r="F45" s="56" t="s">
        <v>165</v>
      </c>
      <c r="G45" s="57" t="s">
        <v>78</v>
      </c>
      <c r="H45" s="58">
        <v>182000</v>
      </c>
      <c r="I45" s="59"/>
      <c r="J45" s="60" t="s">
        <v>2389</v>
      </c>
      <c r="K45" s="80" t="s">
        <v>2389</v>
      </c>
      <c r="L45" s="62"/>
      <c r="M45" s="64"/>
      <c r="N45" s="65"/>
      <c r="O45" s="65"/>
      <c r="P45" s="65"/>
      <c r="Q45" s="65"/>
      <c r="R45" s="65"/>
      <c r="S45" s="65"/>
      <c r="T45" s="67">
        <v>15</v>
      </c>
      <c r="U45" s="67">
        <v>2566</v>
      </c>
      <c r="V45" s="68" t="s">
        <v>2164</v>
      </c>
      <c r="W45" s="69" t="e">
        <v>#REF!</v>
      </c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</row>
    <row r="46" spans="1:39">
      <c r="A46" s="50"/>
      <c r="B46" s="52">
        <v>3750</v>
      </c>
      <c r="C46" s="53" t="s">
        <v>256</v>
      </c>
      <c r="D46" s="55" t="s">
        <v>313</v>
      </c>
      <c r="E46" s="53">
        <v>53</v>
      </c>
      <c r="F46" s="56" t="s">
        <v>167</v>
      </c>
      <c r="G46" s="57" t="s">
        <v>78</v>
      </c>
      <c r="H46" s="58">
        <v>12000</v>
      </c>
      <c r="I46" s="59"/>
      <c r="J46" s="60" t="s">
        <v>2389</v>
      </c>
      <c r="K46" s="80" t="s">
        <v>2389</v>
      </c>
      <c r="L46" s="62"/>
      <c r="M46" s="64"/>
      <c r="N46" s="65"/>
      <c r="O46" s="65"/>
      <c r="P46" s="65"/>
      <c r="Q46" s="65"/>
      <c r="R46" s="65"/>
      <c r="S46" s="65"/>
      <c r="T46" s="67">
        <v>15</v>
      </c>
      <c r="U46" s="67">
        <v>2566</v>
      </c>
      <c r="V46" s="68" t="s">
        <v>2164</v>
      </c>
      <c r="W46" s="69" t="e">
        <v>#REF!</v>
      </c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</row>
    <row r="47" spans="1:39">
      <c r="A47" s="50"/>
      <c r="B47" s="52">
        <v>3750</v>
      </c>
      <c r="C47" s="53" t="s">
        <v>256</v>
      </c>
      <c r="D47" s="55" t="s">
        <v>319</v>
      </c>
      <c r="E47" s="53">
        <v>58</v>
      </c>
      <c r="F47" s="56" t="s">
        <v>320</v>
      </c>
      <c r="G47" s="57" t="s">
        <v>78</v>
      </c>
      <c r="H47" s="58">
        <v>180000</v>
      </c>
      <c r="I47" s="59"/>
      <c r="J47" s="60" t="s">
        <v>2389</v>
      </c>
      <c r="K47" s="80" t="s">
        <v>2389</v>
      </c>
      <c r="L47" s="62"/>
      <c r="M47" s="64"/>
      <c r="N47" s="65"/>
      <c r="O47" s="65"/>
      <c r="P47" s="65"/>
      <c r="Q47" s="65"/>
      <c r="R47" s="65"/>
      <c r="S47" s="65"/>
      <c r="T47" s="67">
        <v>15</v>
      </c>
      <c r="U47" s="67">
        <v>2571</v>
      </c>
      <c r="V47" s="68" t="s">
        <v>2164</v>
      </c>
      <c r="W47" s="69" t="e">
        <v>#REF!</v>
      </c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</row>
    <row r="48" spans="1:39">
      <c r="A48" s="50"/>
      <c r="B48" s="52">
        <v>3750</v>
      </c>
      <c r="C48" s="53" t="s">
        <v>63</v>
      </c>
      <c r="D48" s="55" t="s">
        <v>325</v>
      </c>
      <c r="E48" s="53">
        <v>55</v>
      </c>
      <c r="F48" s="56" t="s">
        <v>326</v>
      </c>
      <c r="G48" s="57" t="s">
        <v>53</v>
      </c>
      <c r="H48" s="58">
        <v>750000</v>
      </c>
      <c r="I48" s="59"/>
      <c r="J48" s="60" t="s">
        <v>2389</v>
      </c>
      <c r="K48" s="80" t="s">
        <v>2389</v>
      </c>
      <c r="L48" s="62"/>
      <c r="M48" s="64"/>
      <c r="N48" s="65"/>
      <c r="O48" s="65"/>
      <c r="P48" s="65"/>
      <c r="Q48" s="65"/>
      <c r="R48" s="65"/>
      <c r="S48" s="65"/>
      <c r="T48" s="67">
        <v>15</v>
      </c>
      <c r="U48" s="67">
        <v>2568</v>
      </c>
      <c r="V48" s="68" t="s">
        <v>2164</v>
      </c>
      <c r="W48" s="69" t="e">
        <v>#REF!</v>
      </c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</row>
    <row r="49" spans="1:39">
      <c r="A49" s="35"/>
      <c r="B49" s="37">
        <v>3800</v>
      </c>
      <c r="C49" s="38"/>
      <c r="D49" s="498" t="s">
        <v>4082</v>
      </c>
      <c r="E49" s="499"/>
      <c r="F49" s="499"/>
      <c r="G49" s="41"/>
      <c r="H49" s="42"/>
      <c r="I49" s="41"/>
      <c r="J49" s="43"/>
      <c r="K49" s="38"/>
      <c r="L49" s="38"/>
      <c r="M49" s="41"/>
      <c r="N49" s="35"/>
      <c r="O49" s="37"/>
      <c r="P49" s="38"/>
      <c r="Q49" s="45"/>
      <c r="R49" s="41"/>
      <c r="S49" s="43"/>
      <c r="T49" s="41"/>
      <c r="U49" s="41"/>
      <c r="V49" s="37" t="s">
        <v>2166</v>
      </c>
      <c r="W49" s="37">
        <v>12</v>
      </c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</row>
    <row r="50" spans="1:39">
      <c r="A50" s="50"/>
      <c r="B50" s="52">
        <v>3805</v>
      </c>
      <c r="C50" s="53" t="s">
        <v>63</v>
      </c>
      <c r="D50" s="55" t="s">
        <v>340</v>
      </c>
      <c r="E50" s="53">
        <v>60</v>
      </c>
      <c r="F50" s="56" t="s">
        <v>341</v>
      </c>
      <c r="G50" s="57" t="s">
        <v>28</v>
      </c>
      <c r="H50" s="58">
        <v>2500000</v>
      </c>
      <c r="I50" s="59"/>
      <c r="J50" s="60" t="s">
        <v>2392</v>
      </c>
      <c r="K50" s="61"/>
      <c r="L50" s="62"/>
      <c r="M50" s="64"/>
      <c r="N50" s="65"/>
      <c r="O50" s="65"/>
      <c r="P50" s="65"/>
      <c r="Q50" s="65"/>
      <c r="R50" s="65"/>
      <c r="S50" s="65"/>
      <c r="T50" s="67"/>
      <c r="U50" s="67">
        <v>2558</v>
      </c>
      <c r="V50" s="68" t="s">
        <v>2166</v>
      </c>
      <c r="W50" s="69" t="e">
        <v>#REF!</v>
      </c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</row>
    <row r="51" spans="1:39">
      <c r="A51" s="50"/>
      <c r="B51" s="52">
        <v>3805</v>
      </c>
      <c r="C51" s="53" t="s">
        <v>63</v>
      </c>
      <c r="D51" s="55" t="s">
        <v>350</v>
      </c>
      <c r="E51" s="53">
        <v>57</v>
      </c>
      <c r="F51" s="56" t="s">
        <v>351</v>
      </c>
      <c r="G51" s="57" t="s">
        <v>28</v>
      </c>
      <c r="H51" s="58">
        <v>5000000</v>
      </c>
      <c r="I51" s="59"/>
      <c r="J51" s="60" t="s">
        <v>2392</v>
      </c>
      <c r="K51" s="80" t="s">
        <v>2392</v>
      </c>
      <c r="L51" s="62"/>
      <c r="M51" s="64"/>
      <c r="N51" s="65"/>
      <c r="O51" s="65"/>
      <c r="P51" s="65"/>
      <c r="Q51" s="65"/>
      <c r="R51" s="65"/>
      <c r="S51" s="65"/>
      <c r="T51" s="67">
        <v>20</v>
      </c>
      <c r="U51" s="67">
        <v>2575</v>
      </c>
      <c r="V51" s="68" t="s">
        <v>2166</v>
      </c>
      <c r="W51" s="69" t="e">
        <v>#REF!</v>
      </c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</row>
    <row r="52" spans="1:39">
      <c r="A52" s="50"/>
      <c r="B52" s="52">
        <v>3805</v>
      </c>
      <c r="C52" s="53" t="s">
        <v>63</v>
      </c>
      <c r="D52" s="55" t="s">
        <v>359</v>
      </c>
      <c r="E52" s="53">
        <v>59</v>
      </c>
      <c r="F52" s="56" t="s">
        <v>360</v>
      </c>
      <c r="G52" s="57" t="s">
        <v>28</v>
      </c>
      <c r="H52" s="58">
        <v>4500000</v>
      </c>
      <c r="I52" s="59"/>
      <c r="J52" s="60" t="s">
        <v>2392</v>
      </c>
      <c r="K52" s="80" t="s">
        <v>2392</v>
      </c>
      <c r="L52" s="62"/>
      <c r="M52" s="64"/>
      <c r="N52" s="65"/>
      <c r="O52" s="65"/>
      <c r="P52" s="65"/>
      <c r="Q52" s="65"/>
      <c r="R52" s="65"/>
      <c r="S52" s="65"/>
      <c r="T52" s="67"/>
      <c r="U52" s="67">
        <v>2557</v>
      </c>
      <c r="V52" s="68" t="s">
        <v>2166</v>
      </c>
      <c r="W52" s="69" t="e">
        <v>#REF!</v>
      </c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</row>
    <row r="53" spans="1:39">
      <c r="A53" s="50"/>
      <c r="B53" s="52">
        <v>3805</v>
      </c>
      <c r="C53" s="53" t="s">
        <v>63</v>
      </c>
      <c r="D53" s="55" t="s">
        <v>365</v>
      </c>
      <c r="E53" s="53">
        <v>62</v>
      </c>
      <c r="F53" s="56" t="s">
        <v>366</v>
      </c>
      <c r="G53" s="57" t="s">
        <v>367</v>
      </c>
      <c r="H53" s="58">
        <v>3800000</v>
      </c>
      <c r="I53" s="59"/>
      <c r="J53" s="60" t="s">
        <v>2392</v>
      </c>
      <c r="K53" s="61"/>
      <c r="L53" s="62"/>
      <c r="M53" s="64"/>
      <c r="N53" s="65"/>
      <c r="O53" s="65"/>
      <c r="P53" s="65"/>
      <c r="Q53" s="65"/>
      <c r="R53" s="65"/>
      <c r="S53" s="65"/>
      <c r="T53" s="67"/>
      <c r="U53" s="67"/>
      <c r="V53" s="68" t="s">
        <v>2166</v>
      </c>
      <c r="W53" s="69" t="e">
        <v>#REF!</v>
      </c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</row>
    <row r="54" spans="1:39">
      <c r="A54" s="50"/>
      <c r="B54" s="52">
        <v>3820</v>
      </c>
      <c r="C54" s="53" t="s">
        <v>372</v>
      </c>
      <c r="D54" s="55" t="s">
        <v>375</v>
      </c>
      <c r="E54" s="53">
        <v>61</v>
      </c>
      <c r="F54" s="56" t="s">
        <v>376</v>
      </c>
      <c r="G54" s="57" t="s">
        <v>78</v>
      </c>
      <c r="H54" s="58">
        <v>580000</v>
      </c>
      <c r="I54" s="59"/>
      <c r="J54" s="60" t="s">
        <v>2393</v>
      </c>
      <c r="K54" s="80" t="s">
        <v>2393</v>
      </c>
      <c r="L54" s="62" t="s">
        <v>379</v>
      </c>
      <c r="M54" s="64"/>
      <c r="N54" s="65"/>
      <c r="O54" s="65"/>
      <c r="P54" s="65"/>
      <c r="Q54" s="65"/>
      <c r="R54" s="65"/>
      <c r="S54" s="65"/>
      <c r="T54" s="67">
        <v>20</v>
      </c>
      <c r="U54" s="67">
        <v>2579</v>
      </c>
      <c r="V54" s="68" t="s">
        <v>2166</v>
      </c>
      <c r="W54" s="69" t="e">
        <v>#REF!</v>
      </c>
      <c r="X54" s="70" t="s">
        <v>384</v>
      </c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</row>
    <row r="55" spans="1:39">
      <c r="A55" s="50"/>
      <c r="B55" s="52">
        <v>3820</v>
      </c>
      <c r="C55" s="53" t="s">
        <v>372</v>
      </c>
      <c r="D55" s="55" t="s">
        <v>387</v>
      </c>
      <c r="E55" s="53">
        <v>61</v>
      </c>
      <c r="F55" s="56" t="s">
        <v>388</v>
      </c>
      <c r="G55" s="57" t="s">
        <v>78</v>
      </c>
      <c r="H55" s="58">
        <v>80000</v>
      </c>
      <c r="I55" s="59"/>
      <c r="J55" s="60" t="s">
        <v>2393</v>
      </c>
      <c r="K55" s="61"/>
      <c r="L55" s="62" t="s">
        <v>390</v>
      </c>
      <c r="M55" s="64"/>
      <c r="N55" s="65"/>
      <c r="O55" s="65"/>
      <c r="P55" s="65"/>
      <c r="Q55" s="65"/>
      <c r="R55" s="65"/>
      <c r="S55" s="65"/>
      <c r="T55" s="67"/>
      <c r="U55" s="67"/>
      <c r="V55" s="68" t="s">
        <v>2166</v>
      </c>
      <c r="W55" s="69" t="e">
        <v>#REF!</v>
      </c>
      <c r="X55" s="70" t="s">
        <v>384</v>
      </c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</row>
    <row r="56" spans="1:39">
      <c r="A56" s="50"/>
      <c r="B56" s="52">
        <v>3820</v>
      </c>
      <c r="C56" s="53" t="s">
        <v>372</v>
      </c>
      <c r="D56" s="55" t="s">
        <v>392</v>
      </c>
      <c r="E56" s="53">
        <v>55</v>
      </c>
      <c r="F56" s="56" t="s">
        <v>393</v>
      </c>
      <c r="G56" s="57" t="s">
        <v>78</v>
      </c>
      <c r="H56" s="58">
        <v>300000</v>
      </c>
      <c r="I56" s="59"/>
      <c r="J56" s="60" t="s">
        <v>2393</v>
      </c>
      <c r="K56" s="80" t="s">
        <v>2393</v>
      </c>
      <c r="L56" s="62" t="s">
        <v>398</v>
      </c>
      <c r="M56" s="64"/>
      <c r="N56" s="65"/>
      <c r="O56" s="65"/>
      <c r="P56" s="65"/>
      <c r="Q56" s="65"/>
      <c r="R56" s="65"/>
      <c r="S56" s="65"/>
      <c r="T56" s="67">
        <v>20</v>
      </c>
      <c r="U56" s="67">
        <v>2573</v>
      </c>
      <c r="V56" s="68" t="s">
        <v>2166</v>
      </c>
      <c r="W56" s="69" t="e">
        <v>#REF!</v>
      </c>
      <c r="X56" s="70" t="s">
        <v>384</v>
      </c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</row>
    <row r="57" spans="1:39">
      <c r="A57" s="50"/>
      <c r="B57" s="52">
        <v>3825</v>
      </c>
      <c r="C57" s="53" t="s">
        <v>63</v>
      </c>
      <c r="D57" s="55" t="s">
        <v>401</v>
      </c>
      <c r="E57" s="53">
        <v>53</v>
      </c>
      <c r="F57" s="56" t="s">
        <v>403</v>
      </c>
      <c r="G57" s="57" t="s">
        <v>78</v>
      </c>
      <c r="H57" s="58">
        <v>270000</v>
      </c>
      <c r="I57" s="59"/>
      <c r="J57" s="60" t="s">
        <v>2394</v>
      </c>
      <c r="K57" s="80" t="s">
        <v>2394</v>
      </c>
      <c r="L57" s="62"/>
      <c r="M57" s="64"/>
      <c r="N57" s="65"/>
      <c r="O57" s="65"/>
      <c r="P57" s="65"/>
      <c r="Q57" s="65"/>
      <c r="R57" s="65"/>
      <c r="S57" s="65"/>
      <c r="T57" s="67">
        <v>20</v>
      </c>
      <c r="U57" s="67">
        <v>2571</v>
      </c>
      <c r="V57" s="68" t="s">
        <v>2166</v>
      </c>
      <c r="W57" s="69" t="e">
        <v>#REF!</v>
      </c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</row>
    <row r="58" spans="1:39">
      <c r="A58" s="50"/>
      <c r="B58" s="52">
        <v>3825</v>
      </c>
      <c r="C58" s="53" t="s">
        <v>63</v>
      </c>
      <c r="D58" s="55" t="s">
        <v>412</v>
      </c>
      <c r="E58" s="53">
        <v>59</v>
      </c>
      <c r="F58" s="56" t="s">
        <v>413</v>
      </c>
      <c r="G58" s="57" t="s">
        <v>28</v>
      </c>
      <c r="H58" s="58">
        <v>15500000</v>
      </c>
      <c r="I58" s="59"/>
      <c r="J58" s="60" t="s">
        <v>2394</v>
      </c>
      <c r="K58" s="61"/>
      <c r="L58" s="62" t="s">
        <v>414</v>
      </c>
      <c r="M58" s="64"/>
      <c r="N58" s="65"/>
      <c r="O58" s="65"/>
      <c r="P58" s="65"/>
      <c r="Q58" s="65"/>
      <c r="R58" s="65"/>
      <c r="S58" s="65"/>
      <c r="T58" s="67"/>
      <c r="U58" s="67">
        <v>2557</v>
      </c>
      <c r="V58" s="68" t="s">
        <v>2166</v>
      </c>
      <c r="W58" s="69" t="e">
        <v>#REF!</v>
      </c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</row>
    <row r="59" spans="1:39">
      <c r="A59" s="50"/>
      <c r="B59" s="52">
        <v>3825</v>
      </c>
      <c r="C59" s="53" t="s">
        <v>63</v>
      </c>
      <c r="D59" s="55" t="s">
        <v>417</v>
      </c>
      <c r="E59" s="53">
        <v>56</v>
      </c>
      <c r="F59" s="56" t="s">
        <v>418</v>
      </c>
      <c r="G59" s="57" t="s">
        <v>28</v>
      </c>
      <c r="H59" s="58">
        <v>345000</v>
      </c>
      <c r="I59" s="59"/>
      <c r="J59" s="60" t="s">
        <v>2394</v>
      </c>
      <c r="K59" s="80" t="s">
        <v>2394</v>
      </c>
      <c r="L59" s="62"/>
      <c r="M59" s="64"/>
      <c r="N59" s="65"/>
      <c r="O59" s="65"/>
      <c r="P59" s="65"/>
      <c r="Q59" s="65"/>
      <c r="R59" s="65"/>
      <c r="S59" s="65"/>
      <c r="T59" s="67">
        <v>20</v>
      </c>
      <c r="U59" s="67">
        <v>2574</v>
      </c>
      <c r="V59" s="68" t="s">
        <v>2166</v>
      </c>
      <c r="W59" s="69" t="e">
        <v>#REF!</v>
      </c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</row>
    <row r="60" spans="1:39">
      <c r="A60" s="50"/>
      <c r="B60" s="52">
        <v>3825</v>
      </c>
      <c r="C60" s="53" t="s">
        <v>63</v>
      </c>
      <c r="D60" s="55" t="s">
        <v>429</v>
      </c>
      <c r="E60" s="53">
        <v>54</v>
      </c>
      <c r="F60" s="56" t="s">
        <v>430</v>
      </c>
      <c r="G60" s="57" t="s">
        <v>28</v>
      </c>
      <c r="H60" s="58">
        <v>2400000</v>
      </c>
      <c r="I60" s="59"/>
      <c r="J60" s="60" t="s">
        <v>2394</v>
      </c>
      <c r="K60" s="80" t="s">
        <v>2394</v>
      </c>
      <c r="L60" s="62"/>
      <c r="M60" s="64"/>
      <c r="N60" s="65"/>
      <c r="O60" s="65"/>
      <c r="P60" s="65"/>
      <c r="Q60" s="65"/>
      <c r="R60" s="65"/>
      <c r="S60" s="65"/>
      <c r="T60" s="67">
        <v>20</v>
      </c>
      <c r="U60" s="67">
        <v>2572</v>
      </c>
      <c r="V60" s="68" t="s">
        <v>2166</v>
      </c>
      <c r="W60" s="69" t="e">
        <v>#REF!</v>
      </c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</row>
    <row r="61" spans="1:39">
      <c r="A61" s="50"/>
      <c r="B61" s="52">
        <v>3895</v>
      </c>
      <c r="C61" s="53" t="s">
        <v>191</v>
      </c>
      <c r="D61" s="55" t="s">
        <v>434</v>
      </c>
      <c r="E61" s="53">
        <v>55</v>
      </c>
      <c r="F61" s="56" t="s">
        <v>435</v>
      </c>
      <c r="G61" s="57" t="s">
        <v>78</v>
      </c>
      <c r="H61" s="58">
        <v>300000</v>
      </c>
      <c r="I61" s="59"/>
      <c r="J61" s="60" t="s">
        <v>2395</v>
      </c>
      <c r="K61" s="80" t="s">
        <v>2395</v>
      </c>
      <c r="L61" s="62"/>
      <c r="M61" s="64"/>
      <c r="N61" s="65"/>
      <c r="O61" s="65"/>
      <c r="P61" s="65"/>
      <c r="Q61" s="65"/>
      <c r="R61" s="65"/>
      <c r="S61" s="65"/>
      <c r="T61" s="67">
        <v>20</v>
      </c>
      <c r="U61" s="67">
        <v>2573</v>
      </c>
      <c r="V61" s="68" t="s">
        <v>2166</v>
      </c>
      <c r="W61" s="69" t="e">
        <v>#REF!</v>
      </c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</row>
    <row r="62" spans="1:39">
      <c r="A62" s="37"/>
      <c r="B62" s="37">
        <v>3900</v>
      </c>
      <c r="C62" s="89"/>
      <c r="D62" s="500" t="s">
        <v>4083</v>
      </c>
      <c r="E62" s="499"/>
      <c r="F62" s="499"/>
      <c r="G62" s="90"/>
      <c r="H62" s="37"/>
      <c r="I62" s="37"/>
      <c r="J62" s="498"/>
      <c r="K62" s="499"/>
      <c r="L62" s="499"/>
      <c r="M62" s="91"/>
      <c r="N62" s="90"/>
      <c r="O62" s="37"/>
      <c r="P62" s="37"/>
      <c r="Q62" s="498"/>
      <c r="R62" s="499"/>
      <c r="S62" s="499"/>
      <c r="T62" s="91"/>
      <c r="U62" s="90"/>
      <c r="V62" s="37" t="s">
        <v>2169</v>
      </c>
      <c r="W62" s="37">
        <v>16</v>
      </c>
      <c r="X62" s="498"/>
      <c r="Y62" s="499"/>
      <c r="Z62" s="499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</row>
    <row r="63" spans="1:39">
      <c r="A63" s="50"/>
      <c r="B63" s="52">
        <v>3930</v>
      </c>
      <c r="C63" s="352" t="s">
        <v>63</v>
      </c>
      <c r="D63" s="353" t="s">
        <v>450</v>
      </c>
      <c r="E63" s="352">
        <v>58</v>
      </c>
      <c r="F63" s="354" t="s">
        <v>451</v>
      </c>
      <c r="G63" s="355" t="s">
        <v>28</v>
      </c>
      <c r="H63" s="356">
        <v>1035000</v>
      </c>
      <c r="I63" s="357"/>
      <c r="J63" s="60" t="s">
        <v>2397</v>
      </c>
      <c r="K63" s="80" t="s">
        <v>2397</v>
      </c>
      <c r="L63" s="62"/>
      <c r="M63" s="64"/>
      <c r="N63" s="65"/>
      <c r="O63" s="65"/>
      <c r="P63" s="65"/>
      <c r="Q63" s="65"/>
      <c r="R63" s="65"/>
      <c r="S63" s="65"/>
      <c r="T63" s="67"/>
      <c r="U63" s="67">
        <v>2556</v>
      </c>
      <c r="V63" s="68" t="s">
        <v>2169</v>
      </c>
      <c r="W63" s="69" t="e">
        <v>#REF!</v>
      </c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</row>
    <row r="64" spans="1:39" ht="18.75" customHeight="1">
      <c r="A64" s="50"/>
      <c r="B64" s="52">
        <v>3960</v>
      </c>
      <c r="C64" s="352" t="s">
        <v>157</v>
      </c>
      <c r="D64" s="353" t="s">
        <v>550</v>
      </c>
      <c r="E64" s="352">
        <v>59</v>
      </c>
      <c r="F64" s="354" t="s">
        <v>551</v>
      </c>
      <c r="G64" s="355" t="s">
        <v>78</v>
      </c>
      <c r="H64" s="356">
        <v>1200000</v>
      </c>
      <c r="I64" s="357"/>
      <c r="J64" s="60" t="s">
        <v>2400</v>
      </c>
      <c r="K64" s="80" t="s">
        <v>2400</v>
      </c>
      <c r="L64" s="62"/>
      <c r="M64" s="64"/>
      <c r="N64" s="65"/>
      <c r="O64" s="65"/>
      <c r="P64" s="65"/>
      <c r="Q64" s="65"/>
      <c r="R64" s="65"/>
      <c r="S64" s="65"/>
      <c r="T64" s="67"/>
      <c r="U64" s="67"/>
      <c r="V64" s="68"/>
      <c r="W64" s="69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</row>
    <row r="65" spans="1:39">
      <c r="A65" s="50"/>
      <c r="B65" s="52">
        <v>3930</v>
      </c>
      <c r="C65" s="53" t="s">
        <v>63</v>
      </c>
      <c r="D65" s="55" t="s">
        <v>458</v>
      </c>
      <c r="E65" s="53">
        <v>57</v>
      </c>
      <c r="F65" s="56" t="s">
        <v>459</v>
      </c>
      <c r="G65" s="57" t="s">
        <v>28</v>
      </c>
      <c r="H65" s="58">
        <v>200000</v>
      </c>
      <c r="I65" s="59"/>
      <c r="J65" s="60">
        <v>3930</v>
      </c>
      <c r="K65" s="80" t="s">
        <v>2397</v>
      </c>
      <c r="L65" s="62"/>
      <c r="M65" s="64"/>
      <c r="N65" s="65"/>
      <c r="O65" s="65"/>
      <c r="P65" s="65"/>
      <c r="Q65" s="65"/>
      <c r="R65" s="65"/>
      <c r="S65" s="65"/>
      <c r="T65" s="67">
        <v>20</v>
      </c>
      <c r="U65" s="67">
        <v>2575</v>
      </c>
      <c r="V65" s="68" t="s">
        <v>2169</v>
      </c>
      <c r="W65" s="69" t="e">
        <v>#REF!</v>
      </c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</row>
    <row r="66" spans="1:39">
      <c r="A66" s="50"/>
      <c r="B66" s="52">
        <v>3930</v>
      </c>
      <c r="C66" s="53" t="s">
        <v>63</v>
      </c>
      <c r="D66" s="55" t="s">
        <v>471</v>
      </c>
      <c r="E66" s="53">
        <v>59</v>
      </c>
      <c r="F66" s="56" t="s">
        <v>473</v>
      </c>
      <c r="G66" s="57" t="s">
        <v>28</v>
      </c>
      <c r="H66" s="58">
        <v>760000</v>
      </c>
      <c r="I66" s="59"/>
      <c r="J66" s="60" t="s">
        <v>2397</v>
      </c>
      <c r="K66" s="61"/>
      <c r="L66" s="62"/>
      <c r="M66" s="64"/>
      <c r="N66" s="65"/>
      <c r="O66" s="65"/>
      <c r="P66" s="65"/>
      <c r="Q66" s="65"/>
      <c r="R66" s="65"/>
      <c r="S66" s="65"/>
      <c r="T66" s="67"/>
      <c r="U66" s="67"/>
      <c r="V66" s="68"/>
      <c r="W66" s="69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</row>
    <row r="67" spans="1:39">
      <c r="A67" s="50"/>
      <c r="B67" s="52">
        <v>3930</v>
      </c>
      <c r="C67" s="53" t="s">
        <v>63</v>
      </c>
      <c r="D67" s="55" t="s">
        <v>478</v>
      </c>
      <c r="E67" s="53">
        <v>57</v>
      </c>
      <c r="F67" s="56" t="s">
        <v>479</v>
      </c>
      <c r="G67" s="57" t="s">
        <v>28</v>
      </c>
      <c r="H67" s="58">
        <v>960000</v>
      </c>
      <c r="I67" s="59"/>
      <c r="J67" s="60" t="s">
        <v>2397</v>
      </c>
      <c r="K67" s="80" t="s">
        <v>2397</v>
      </c>
      <c r="L67" s="62"/>
      <c r="M67" s="64"/>
      <c r="N67" s="65"/>
      <c r="O67" s="65"/>
      <c r="P67" s="65"/>
      <c r="Q67" s="65"/>
      <c r="R67" s="65"/>
      <c r="S67" s="65"/>
      <c r="T67" s="67"/>
      <c r="U67" s="67">
        <v>2558</v>
      </c>
      <c r="V67" s="68" t="s">
        <v>2169</v>
      </c>
      <c r="W67" s="69" t="e">
        <v>#REF!</v>
      </c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</row>
    <row r="68" spans="1:39">
      <c r="A68" s="50"/>
      <c r="B68" s="52">
        <v>3930</v>
      </c>
      <c r="C68" s="53" t="s">
        <v>63</v>
      </c>
      <c r="D68" s="55" t="s">
        <v>466</v>
      </c>
      <c r="E68" s="53">
        <v>60</v>
      </c>
      <c r="F68" s="56" t="s">
        <v>467</v>
      </c>
      <c r="G68" s="57" t="s">
        <v>28</v>
      </c>
      <c r="H68" s="58">
        <v>1800000</v>
      </c>
      <c r="I68" s="59"/>
      <c r="J68" s="60" t="s">
        <v>2397</v>
      </c>
      <c r="K68" s="61"/>
      <c r="L68" s="62"/>
      <c r="M68" s="64"/>
      <c r="N68" s="65"/>
      <c r="O68" s="65"/>
      <c r="P68" s="65"/>
      <c r="Q68" s="65"/>
      <c r="R68" s="65"/>
      <c r="S68" s="65"/>
      <c r="T68" s="67"/>
      <c r="U68" s="67">
        <v>2557</v>
      </c>
      <c r="V68" s="68" t="s">
        <v>2169</v>
      </c>
      <c r="W68" s="69" t="e">
        <v>#REF!</v>
      </c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</row>
    <row r="69" spans="1:39">
      <c r="A69" s="50"/>
      <c r="B69" s="52">
        <v>3930</v>
      </c>
      <c r="C69" s="53" t="s">
        <v>63</v>
      </c>
      <c r="D69" s="55" t="s">
        <v>489</v>
      </c>
      <c r="E69" s="53">
        <v>58</v>
      </c>
      <c r="F69" s="56" t="s">
        <v>490</v>
      </c>
      <c r="G69" s="57" t="s">
        <v>28</v>
      </c>
      <c r="H69" s="58">
        <v>760000</v>
      </c>
      <c r="I69" s="59"/>
      <c r="J69" s="60" t="s">
        <v>2397</v>
      </c>
      <c r="K69" s="80" t="s">
        <v>2397</v>
      </c>
      <c r="L69" s="62"/>
      <c r="M69" s="64"/>
      <c r="N69" s="65"/>
      <c r="O69" s="65"/>
      <c r="P69" s="65"/>
      <c r="Q69" s="65"/>
      <c r="R69" s="65"/>
      <c r="S69" s="65"/>
      <c r="T69" s="67">
        <v>20</v>
      </c>
      <c r="U69" s="67">
        <v>2575</v>
      </c>
      <c r="V69" s="68" t="s">
        <v>2169</v>
      </c>
      <c r="W69" s="69" t="e">
        <v>#REF!</v>
      </c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</row>
    <row r="70" spans="1:39">
      <c r="A70" s="50"/>
      <c r="B70" s="52">
        <v>3930</v>
      </c>
      <c r="C70" s="53" t="s">
        <v>63</v>
      </c>
      <c r="D70" s="55" t="s">
        <v>496</v>
      </c>
      <c r="E70" s="53">
        <v>54</v>
      </c>
      <c r="F70" s="56" t="s">
        <v>498</v>
      </c>
      <c r="G70" s="57" t="s">
        <v>28</v>
      </c>
      <c r="H70" s="58">
        <v>1200000</v>
      </c>
      <c r="I70" s="59"/>
      <c r="J70" s="60" t="s">
        <v>2397</v>
      </c>
      <c r="K70" s="80" t="s">
        <v>2397</v>
      </c>
      <c r="L70" s="62"/>
      <c r="M70" s="64"/>
      <c r="N70" s="65"/>
      <c r="O70" s="65"/>
      <c r="P70" s="65"/>
      <c r="Q70" s="65"/>
      <c r="R70" s="65"/>
      <c r="S70" s="65"/>
      <c r="T70" s="67">
        <v>20</v>
      </c>
      <c r="U70" s="67">
        <v>2576</v>
      </c>
      <c r="V70" s="68" t="s">
        <v>2169</v>
      </c>
      <c r="W70" s="69" t="e">
        <v>#REF!</v>
      </c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</row>
    <row r="71" spans="1:39">
      <c r="A71" s="50"/>
      <c r="B71" s="52">
        <v>3930</v>
      </c>
      <c r="C71" s="53" t="s">
        <v>157</v>
      </c>
      <c r="D71" s="55" t="s">
        <v>503</v>
      </c>
      <c r="E71" s="53">
        <v>62</v>
      </c>
      <c r="F71" s="56" t="s">
        <v>504</v>
      </c>
      <c r="G71" s="57" t="s">
        <v>28</v>
      </c>
      <c r="H71" s="58">
        <v>590000</v>
      </c>
      <c r="I71" s="59"/>
      <c r="J71" s="60" t="s">
        <v>2397</v>
      </c>
      <c r="K71" s="61"/>
      <c r="L71" s="62"/>
      <c r="M71" s="64"/>
      <c r="N71" s="65"/>
      <c r="O71" s="65"/>
      <c r="P71" s="65"/>
      <c r="Q71" s="65"/>
      <c r="R71" s="65"/>
      <c r="S71" s="65"/>
      <c r="T71" s="67"/>
      <c r="U71" s="67"/>
      <c r="V71" s="68" t="s">
        <v>2169</v>
      </c>
      <c r="W71" s="69" t="e">
        <v>#REF!</v>
      </c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</row>
    <row r="72" spans="1:39">
      <c r="A72" s="50"/>
      <c r="B72" s="52">
        <v>3930</v>
      </c>
      <c r="C72" s="53" t="s">
        <v>63</v>
      </c>
      <c r="D72" s="55" t="s">
        <v>511</v>
      </c>
      <c r="E72" s="53">
        <v>55</v>
      </c>
      <c r="F72" s="56" t="s">
        <v>512</v>
      </c>
      <c r="G72" s="57" t="s">
        <v>28</v>
      </c>
      <c r="H72" s="58">
        <v>1100000</v>
      </c>
      <c r="I72" s="59"/>
      <c r="J72" s="60" t="s">
        <v>2397</v>
      </c>
      <c r="K72" s="80" t="s">
        <v>2397</v>
      </c>
      <c r="L72" s="62"/>
      <c r="M72" s="64"/>
      <c r="N72" s="65"/>
      <c r="O72" s="65"/>
      <c r="P72" s="65"/>
      <c r="Q72" s="65"/>
      <c r="R72" s="65"/>
      <c r="S72" s="65"/>
      <c r="T72" s="67">
        <v>20</v>
      </c>
      <c r="U72" s="67">
        <v>2573</v>
      </c>
      <c r="V72" s="68" t="s">
        <v>2169</v>
      </c>
      <c r="W72" s="69" t="e">
        <v>#REF!</v>
      </c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</row>
    <row r="73" spans="1:39">
      <c r="A73" s="50"/>
      <c r="B73" s="52">
        <v>3930</v>
      </c>
      <c r="C73" s="53" t="s">
        <v>63</v>
      </c>
      <c r="D73" s="55" t="s">
        <v>515</v>
      </c>
      <c r="E73" s="53">
        <v>58</v>
      </c>
      <c r="F73" s="56" t="s">
        <v>516</v>
      </c>
      <c r="G73" s="57" t="s">
        <v>28</v>
      </c>
      <c r="H73" s="58">
        <v>1330000</v>
      </c>
      <c r="I73" s="59"/>
      <c r="J73" s="60" t="s">
        <v>2397</v>
      </c>
      <c r="K73" s="80" t="s">
        <v>2397</v>
      </c>
      <c r="L73" s="62"/>
      <c r="M73" s="64"/>
      <c r="N73" s="65"/>
      <c r="O73" s="65"/>
      <c r="P73" s="65"/>
      <c r="Q73" s="65"/>
      <c r="R73" s="65"/>
      <c r="S73" s="65"/>
      <c r="T73" s="67"/>
      <c r="U73" s="67">
        <v>2556</v>
      </c>
      <c r="V73" s="68" t="s">
        <v>2169</v>
      </c>
      <c r="W73" s="69" t="e">
        <v>#REF!</v>
      </c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</row>
    <row r="74" spans="1:39">
      <c r="A74" s="50"/>
      <c r="B74" s="52">
        <v>3940</v>
      </c>
      <c r="C74" s="53" t="s">
        <v>157</v>
      </c>
      <c r="D74" s="55" t="s">
        <v>519</v>
      </c>
      <c r="E74" s="53">
        <v>53</v>
      </c>
      <c r="F74" s="56" t="s">
        <v>520</v>
      </c>
      <c r="G74" s="57" t="s">
        <v>48</v>
      </c>
      <c r="H74" s="58">
        <v>4500</v>
      </c>
      <c r="I74" s="59"/>
      <c r="J74" s="60" t="s">
        <v>2398</v>
      </c>
      <c r="K74" s="80" t="s">
        <v>2398</v>
      </c>
      <c r="L74" s="62"/>
      <c r="M74" s="64"/>
      <c r="N74" s="65"/>
      <c r="O74" s="65"/>
      <c r="P74" s="65"/>
      <c r="Q74" s="65"/>
      <c r="R74" s="65"/>
      <c r="S74" s="65"/>
      <c r="T74" s="67">
        <v>20</v>
      </c>
      <c r="U74" s="67">
        <v>2571</v>
      </c>
      <c r="V74" s="68" t="s">
        <v>2169</v>
      </c>
      <c r="W74" s="69" t="e">
        <v>#REF!</v>
      </c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</row>
    <row r="75" spans="1:39">
      <c r="A75" s="50"/>
      <c r="B75" s="52">
        <v>3940</v>
      </c>
      <c r="C75" s="53" t="s">
        <v>157</v>
      </c>
      <c r="D75" s="55" t="s">
        <v>525</v>
      </c>
      <c r="E75" s="53">
        <v>58</v>
      </c>
      <c r="F75" s="56" t="s">
        <v>526</v>
      </c>
      <c r="G75" s="57" t="s">
        <v>48</v>
      </c>
      <c r="H75" s="58">
        <v>13000</v>
      </c>
      <c r="I75" s="59"/>
      <c r="J75" s="60" t="s">
        <v>2398</v>
      </c>
      <c r="K75" s="80" t="s">
        <v>2398</v>
      </c>
      <c r="L75" s="62"/>
      <c r="M75" s="64"/>
      <c r="N75" s="65"/>
      <c r="O75" s="65"/>
      <c r="P75" s="65"/>
      <c r="Q75" s="65"/>
      <c r="R75" s="65"/>
      <c r="S75" s="65"/>
      <c r="T75" s="67">
        <v>20</v>
      </c>
      <c r="U75" s="67">
        <v>2576</v>
      </c>
      <c r="V75" s="68" t="s">
        <v>2169</v>
      </c>
      <c r="W75" s="69" t="e">
        <v>#REF!</v>
      </c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</row>
    <row r="76" spans="1:39">
      <c r="A76" s="50"/>
      <c r="B76" s="52">
        <v>3940</v>
      </c>
      <c r="C76" s="53" t="s">
        <v>157</v>
      </c>
      <c r="D76" s="55" t="s">
        <v>535</v>
      </c>
      <c r="E76" s="53">
        <v>55</v>
      </c>
      <c r="F76" s="56" t="s">
        <v>536</v>
      </c>
      <c r="G76" s="57" t="s">
        <v>537</v>
      </c>
      <c r="H76" s="58">
        <v>35000</v>
      </c>
      <c r="I76" s="59"/>
      <c r="J76" s="60" t="s">
        <v>2398</v>
      </c>
      <c r="K76" s="80" t="s">
        <v>2398</v>
      </c>
      <c r="L76" s="62"/>
      <c r="M76" s="64"/>
      <c r="N76" s="65"/>
      <c r="O76" s="65"/>
      <c r="P76" s="65"/>
      <c r="Q76" s="65"/>
      <c r="R76" s="65"/>
      <c r="S76" s="65"/>
      <c r="T76" s="67"/>
      <c r="U76" s="67"/>
      <c r="V76" s="68"/>
      <c r="W76" s="69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</row>
    <row r="77" spans="1:39">
      <c r="A77" s="50"/>
      <c r="B77" s="52">
        <v>3940</v>
      </c>
      <c r="C77" s="53" t="s">
        <v>37</v>
      </c>
      <c r="D77" s="55" t="s">
        <v>529</v>
      </c>
      <c r="E77" s="53">
        <v>55</v>
      </c>
      <c r="F77" s="56" t="s">
        <v>531</v>
      </c>
      <c r="G77" s="57" t="s">
        <v>53</v>
      </c>
      <c r="H77" s="58">
        <v>12500</v>
      </c>
      <c r="I77" s="59"/>
      <c r="J77" s="60" t="s">
        <v>2398</v>
      </c>
      <c r="K77" s="80" t="s">
        <v>2398</v>
      </c>
      <c r="L77" s="62"/>
      <c r="M77" s="64"/>
      <c r="N77" s="65"/>
      <c r="O77" s="65"/>
      <c r="P77" s="65"/>
      <c r="Q77" s="65"/>
      <c r="R77" s="65"/>
      <c r="S77" s="65"/>
      <c r="T77" s="67">
        <v>20</v>
      </c>
      <c r="U77" s="67">
        <v>2573</v>
      </c>
      <c r="V77" s="68" t="s">
        <v>2169</v>
      </c>
      <c r="W77" s="69" t="e">
        <v>#REF!</v>
      </c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</row>
    <row r="78" spans="1:39">
      <c r="A78" s="50"/>
      <c r="B78" s="52">
        <v>3950</v>
      </c>
      <c r="C78" s="53" t="s">
        <v>372</v>
      </c>
      <c r="D78" s="55" t="s">
        <v>542</v>
      </c>
      <c r="E78" s="53">
        <v>58</v>
      </c>
      <c r="F78" s="56" t="s">
        <v>543</v>
      </c>
      <c r="G78" s="57" t="s">
        <v>78</v>
      </c>
      <c r="H78" s="58">
        <v>8000000</v>
      </c>
      <c r="I78" s="59"/>
      <c r="J78" s="60" t="s">
        <v>2399</v>
      </c>
      <c r="K78" s="80" t="s">
        <v>2399</v>
      </c>
      <c r="L78" s="62" t="s">
        <v>546</v>
      </c>
      <c r="M78" s="64"/>
      <c r="N78" s="65"/>
      <c r="O78" s="65"/>
      <c r="P78" s="65"/>
      <c r="Q78" s="65"/>
      <c r="R78" s="65"/>
      <c r="S78" s="65"/>
      <c r="T78" s="67"/>
      <c r="U78" s="67">
        <v>2556</v>
      </c>
      <c r="V78" s="68" t="s">
        <v>2169</v>
      </c>
      <c r="W78" s="69" t="e">
        <v>#REF!</v>
      </c>
      <c r="X78" s="70" t="s">
        <v>548</v>
      </c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</row>
    <row r="79" spans="1:39">
      <c r="A79" s="37"/>
      <c r="B79" s="37">
        <v>4100</v>
      </c>
      <c r="C79" s="89"/>
      <c r="D79" s="500" t="s">
        <v>4084</v>
      </c>
      <c r="E79" s="499"/>
      <c r="F79" s="499"/>
      <c r="G79" s="90"/>
      <c r="H79" s="37"/>
      <c r="I79" s="37"/>
      <c r="J79" s="498"/>
      <c r="K79" s="499"/>
      <c r="L79" s="499"/>
      <c r="M79" s="91"/>
      <c r="N79" s="90"/>
      <c r="O79" s="37"/>
      <c r="P79" s="37"/>
      <c r="Q79" s="498"/>
      <c r="R79" s="499"/>
      <c r="S79" s="499"/>
      <c r="T79" s="91"/>
      <c r="U79" s="90"/>
      <c r="V79" s="37" t="s">
        <v>2174</v>
      </c>
      <c r="W79" s="37">
        <v>27</v>
      </c>
      <c r="X79" s="498"/>
      <c r="Y79" s="499"/>
      <c r="Z79" s="499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</row>
    <row r="80" spans="1:39">
      <c r="A80" s="351"/>
      <c r="B80" s="52">
        <v>4120</v>
      </c>
      <c r="C80" s="53" t="s">
        <v>157</v>
      </c>
      <c r="D80" s="55" t="s">
        <v>571</v>
      </c>
      <c r="E80" s="53">
        <v>62</v>
      </c>
      <c r="F80" s="56" t="s">
        <v>573</v>
      </c>
      <c r="G80" s="57" t="s">
        <v>78</v>
      </c>
      <c r="H80" s="58">
        <v>4500000</v>
      </c>
      <c r="I80" s="59"/>
      <c r="J80" s="60" t="s">
        <v>2403</v>
      </c>
      <c r="M80" s="91"/>
      <c r="N80" s="90"/>
      <c r="O80" s="37"/>
      <c r="P80" s="37"/>
      <c r="Q80" s="45"/>
      <c r="T80" s="91"/>
      <c r="U80" s="90"/>
      <c r="V80" s="37"/>
      <c r="W80" s="37"/>
      <c r="X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</row>
    <row r="81" spans="1:39">
      <c r="A81" s="50"/>
      <c r="B81" s="52">
        <v>4120</v>
      </c>
      <c r="C81" s="53" t="s">
        <v>157</v>
      </c>
      <c r="D81" s="55" t="s">
        <v>558</v>
      </c>
      <c r="E81" s="53">
        <v>62</v>
      </c>
      <c r="F81" s="56" t="s">
        <v>559</v>
      </c>
      <c r="G81" s="57" t="s">
        <v>78</v>
      </c>
      <c r="H81" s="58">
        <v>6700000</v>
      </c>
      <c r="I81" s="59"/>
      <c r="J81" s="60" t="s">
        <v>2403</v>
      </c>
      <c r="K81" s="61"/>
      <c r="L81" s="62"/>
      <c r="M81" s="64"/>
      <c r="N81" s="65"/>
      <c r="O81" s="65"/>
      <c r="P81" s="65"/>
      <c r="Q81" s="65"/>
      <c r="R81" s="65"/>
      <c r="S81" s="65"/>
      <c r="T81" s="67"/>
      <c r="U81" s="67"/>
      <c r="V81" s="68" t="s">
        <v>2174</v>
      </c>
      <c r="W81" s="69" t="e">
        <v>#REF!</v>
      </c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</row>
    <row r="82" spans="1:39">
      <c r="A82" s="50"/>
      <c r="B82" s="52">
        <v>4120</v>
      </c>
      <c r="C82" s="53" t="s">
        <v>372</v>
      </c>
      <c r="D82" s="55" t="s">
        <v>566</v>
      </c>
      <c r="E82" s="53">
        <v>60</v>
      </c>
      <c r="F82" s="56" t="s">
        <v>567</v>
      </c>
      <c r="G82" s="57" t="s">
        <v>78</v>
      </c>
      <c r="H82" s="58">
        <v>11000000</v>
      </c>
      <c r="I82" s="59"/>
      <c r="J82" s="60" t="s">
        <v>2403</v>
      </c>
      <c r="K82" s="61"/>
      <c r="L82" s="62" t="s">
        <v>568</v>
      </c>
      <c r="M82" s="64"/>
      <c r="N82" s="65"/>
      <c r="O82" s="65"/>
      <c r="P82" s="65"/>
      <c r="Q82" s="65"/>
      <c r="R82" s="65"/>
      <c r="S82" s="65"/>
      <c r="T82" s="67"/>
      <c r="U82" s="67">
        <v>2558</v>
      </c>
      <c r="V82" s="68" t="s">
        <v>2174</v>
      </c>
      <c r="W82" s="69" t="e">
        <v>#REF!</v>
      </c>
      <c r="X82" s="70" t="s">
        <v>548</v>
      </c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</row>
    <row r="83" spans="1:39" ht="31.5">
      <c r="A83" s="50"/>
      <c r="B83" s="52">
        <v>4120</v>
      </c>
      <c r="C83" s="53" t="s">
        <v>157</v>
      </c>
      <c r="D83" s="55" t="s">
        <v>577</v>
      </c>
      <c r="E83" s="53">
        <v>61</v>
      </c>
      <c r="F83" s="56" t="s">
        <v>578</v>
      </c>
      <c r="G83" s="57" t="s">
        <v>78</v>
      </c>
      <c r="H83" s="58">
        <v>2000000</v>
      </c>
      <c r="I83" s="59"/>
      <c r="J83" s="60" t="s">
        <v>2403</v>
      </c>
      <c r="K83" s="61"/>
      <c r="L83" s="62"/>
      <c r="M83" s="64"/>
      <c r="N83" s="65"/>
      <c r="O83" s="65"/>
      <c r="P83" s="65"/>
      <c r="Q83" s="65"/>
      <c r="R83" s="65"/>
      <c r="S83" s="65"/>
      <c r="T83" s="67"/>
      <c r="U83" s="67"/>
      <c r="V83" s="68" t="s">
        <v>2174</v>
      </c>
      <c r="W83" s="69" t="e">
        <v>#REF!</v>
      </c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</row>
    <row r="84" spans="1:39" ht="31.5">
      <c r="A84" s="50"/>
      <c r="B84" s="52">
        <v>4120</v>
      </c>
      <c r="C84" s="53" t="s">
        <v>157</v>
      </c>
      <c r="D84" s="55" t="s">
        <v>583</v>
      </c>
      <c r="E84" s="53">
        <v>59</v>
      </c>
      <c r="F84" s="56" t="s">
        <v>584</v>
      </c>
      <c r="G84" s="57" t="s">
        <v>78</v>
      </c>
      <c r="H84" s="58">
        <v>2500000</v>
      </c>
      <c r="I84" s="59"/>
      <c r="J84" s="60" t="s">
        <v>2403</v>
      </c>
      <c r="K84" s="61"/>
      <c r="L84" s="62"/>
      <c r="M84" s="64"/>
      <c r="N84" s="65"/>
      <c r="O84" s="65"/>
      <c r="P84" s="65"/>
      <c r="Q84" s="65"/>
      <c r="R84" s="65"/>
      <c r="S84" s="65"/>
      <c r="T84" s="67"/>
      <c r="U84" s="67">
        <v>2557</v>
      </c>
      <c r="V84" s="68" t="s">
        <v>2174</v>
      </c>
      <c r="W84" s="69" t="e">
        <v>#REF!</v>
      </c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</row>
    <row r="85" spans="1:39">
      <c r="A85" s="50"/>
      <c r="B85" s="52">
        <v>4120</v>
      </c>
      <c r="C85" s="53" t="s">
        <v>157</v>
      </c>
      <c r="D85" s="55" t="s">
        <v>606</v>
      </c>
      <c r="E85" s="53">
        <v>58</v>
      </c>
      <c r="F85" s="56" t="s">
        <v>607</v>
      </c>
      <c r="G85" s="57" t="s">
        <v>78</v>
      </c>
      <c r="H85" s="58">
        <v>105000</v>
      </c>
      <c r="I85" s="59"/>
      <c r="J85" s="60" t="s">
        <v>2403</v>
      </c>
      <c r="K85" s="80" t="s">
        <v>2403</v>
      </c>
      <c r="L85" s="62"/>
      <c r="M85" s="64"/>
      <c r="N85" s="65"/>
      <c r="O85" s="65"/>
      <c r="P85" s="65"/>
      <c r="Q85" s="65"/>
      <c r="R85" s="65"/>
      <c r="S85" s="65"/>
      <c r="T85" s="67"/>
      <c r="U85" s="67"/>
      <c r="V85" s="68"/>
      <c r="W85" s="69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</row>
    <row r="86" spans="1:39">
      <c r="A86" s="50"/>
      <c r="B86" s="52">
        <v>4120</v>
      </c>
      <c r="C86" s="53" t="s">
        <v>157</v>
      </c>
      <c r="D86" s="55" t="s">
        <v>613</v>
      </c>
      <c r="E86" s="53">
        <v>58</v>
      </c>
      <c r="F86" s="56" t="s">
        <v>614</v>
      </c>
      <c r="G86" s="57" t="s">
        <v>78</v>
      </c>
      <c r="H86" s="58">
        <v>195000</v>
      </c>
      <c r="I86" s="59"/>
      <c r="J86" s="60" t="s">
        <v>2403</v>
      </c>
      <c r="K86" s="80" t="s">
        <v>2403</v>
      </c>
      <c r="L86" s="62"/>
      <c r="M86" s="64"/>
      <c r="N86" s="65"/>
      <c r="O86" s="65"/>
      <c r="P86" s="65"/>
      <c r="Q86" s="65"/>
      <c r="R86" s="65"/>
      <c r="S86" s="65"/>
      <c r="T86" s="67"/>
      <c r="U86" s="67"/>
      <c r="V86" s="68"/>
      <c r="W86" s="69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</row>
    <row r="87" spans="1:39">
      <c r="A87" s="50"/>
      <c r="B87" s="52">
        <v>4120</v>
      </c>
      <c r="C87" s="53" t="s">
        <v>157</v>
      </c>
      <c r="D87" s="55" t="s">
        <v>589</v>
      </c>
      <c r="E87" s="53">
        <v>58</v>
      </c>
      <c r="F87" s="56" t="s">
        <v>591</v>
      </c>
      <c r="G87" s="57" t="s">
        <v>78</v>
      </c>
      <c r="H87" s="58">
        <v>220000</v>
      </c>
      <c r="I87" s="59"/>
      <c r="J87" s="60" t="s">
        <v>2403</v>
      </c>
      <c r="K87" s="80" t="s">
        <v>2403</v>
      </c>
      <c r="L87" s="62"/>
      <c r="M87" s="64"/>
      <c r="N87" s="65"/>
      <c r="O87" s="65"/>
      <c r="P87" s="65"/>
      <c r="Q87" s="65"/>
      <c r="R87" s="65"/>
      <c r="S87" s="65"/>
      <c r="T87" s="67">
        <v>20</v>
      </c>
      <c r="U87" s="67">
        <v>2576</v>
      </c>
      <c r="V87" s="68" t="s">
        <v>2174</v>
      </c>
      <c r="W87" s="69" t="e">
        <v>#REF!</v>
      </c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</row>
    <row r="88" spans="1:39">
      <c r="A88" s="50"/>
      <c r="B88" s="52">
        <v>4120</v>
      </c>
      <c r="C88" s="53" t="s">
        <v>157</v>
      </c>
      <c r="D88" s="55" t="s">
        <v>594</v>
      </c>
      <c r="E88" s="53">
        <v>60</v>
      </c>
      <c r="F88" s="56" t="s">
        <v>595</v>
      </c>
      <c r="G88" s="57" t="s">
        <v>78</v>
      </c>
      <c r="H88" s="58">
        <v>320000</v>
      </c>
      <c r="I88" s="59"/>
      <c r="J88" s="60" t="s">
        <v>2403</v>
      </c>
      <c r="K88" s="61"/>
      <c r="L88" s="62"/>
      <c r="M88" s="64"/>
      <c r="N88" s="65"/>
      <c r="O88" s="65"/>
      <c r="P88" s="65"/>
      <c r="Q88" s="65"/>
      <c r="R88" s="65"/>
      <c r="S88" s="65"/>
      <c r="T88" s="67"/>
      <c r="U88" s="67">
        <v>2558</v>
      </c>
      <c r="V88" s="68" t="s">
        <v>2174</v>
      </c>
      <c r="W88" s="69" t="e">
        <v>#REF!</v>
      </c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</row>
    <row r="89" spans="1:39">
      <c r="A89" s="50"/>
      <c r="B89" s="52">
        <v>4120</v>
      </c>
      <c r="C89" s="53" t="s">
        <v>157</v>
      </c>
      <c r="D89" s="55" t="s">
        <v>600</v>
      </c>
      <c r="E89" s="53">
        <v>58</v>
      </c>
      <c r="F89" s="56" t="s">
        <v>601</v>
      </c>
      <c r="G89" s="57" t="s">
        <v>78</v>
      </c>
      <c r="H89" s="58">
        <v>520000</v>
      </c>
      <c r="I89" s="59"/>
      <c r="J89" s="60" t="s">
        <v>2403</v>
      </c>
      <c r="K89" s="80" t="s">
        <v>2403</v>
      </c>
      <c r="L89" s="62"/>
      <c r="M89" s="64"/>
      <c r="N89" s="65"/>
      <c r="O89" s="65"/>
      <c r="P89" s="65"/>
      <c r="Q89" s="65"/>
      <c r="R89" s="65"/>
      <c r="S89" s="65"/>
      <c r="T89" s="67">
        <v>20</v>
      </c>
      <c r="U89" s="67">
        <v>2576</v>
      </c>
      <c r="V89" s="68" t="s">
        <v>2174</v>
      </c>
      <c r="W89" s="69" t="e">
        <v>#REF!</v>
      </c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</row>
    <row r="90" spans="1:39" ht="18.75" customHeight="1">
      <c r="A90" s="50"/>
      <c r="B90" s="52">
        <v>4120</v>
      </c>
      <c r="C90" s="53" t="s">
        <v>157</v>
      </c>
      <c r="D90" s="55" t="s">
        <v>618</v>
      </c>
      <c r="E90" s="53">
        <v>59</v>
      </c>
      <c r="F90" s="56" t="s">
        <v>619</v>
      </c>
      <c r="G90" s="57" t="s">
        <v>78</v>
      </c>
      <c r="H90" s="58">
        <v>70000</v>
      </c>
      <c r="I90" s="59"/>
      <c r="J90" s="60" t="s">
        <v>2403</v>
      </c>
      <c r="K90" s="61"/>
      <c r="L90" s="62"/>
      <c r="M90" s="64"/>
      <c r="N90" s="65"/>
      <c r="O90" s="65"/>
      <c r="P90" s="65"/>
      <c r="Q90" s="65"/>
      <c r="R90" s="65"/>
      <c r="S90" s="65"/>
      <c r="T90" s="67"/>
      <c r="U90" s="67">
        <v>2557</v>
      </c>
      <c r="V90" s="68" t="s">
        <v>2174</v>
      </c>
      <c r="W90" s="69" t="e">
        <v>#REF!</v>
      </c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</row>
    <row r="91" spans="1:39" ht="18.75" customHeight="1">
      <c r="A91" s="50"/>
      <c r="B91" s="52">
        <v>4120</v>
      </c>
      <c r="C91" s="53" t="s">
        <v>157</v>
      </c>
      <c r="D91" s="55" t="s">
        <v>624</v>
      </c>
      <c r="E91" s="53">
        <v>58</v>
      </c>
      <c r="F91" s="56" t="s">
        <v>625</v>
      </c>
      <c r="G91" s="57" t="s">
        <v>78</v>
      </c>
      <c r="H91" s="58">
        <v>56000</v>
      </c>
      <c r="I91" s="59"/>
      <c r="J91" s="60" t="s">
        <v>2403</v>
      </c>
      <c r="K91" s="80" t="s">
        <v>2403</v>
      </c>
      <c r="L91" s="62"/>
      <c r="M91" s="64"/>
      <c r="N91" s="65">
        <v>4120</v>
      </c>
      <c r="O91" s="65" t="s">
        <v>157</v>
      </c>
      <c r="P91" s="65" t="s">
        <v>630</v>
      </c>
      <c r="Q91" s="65">
        <v>58</v>
      </c>
      <c r="R91" s="65" t="s">
        <v>631</v>
      </c>
      <c r="S91" s="65" t="s">
        <v>78</v>
      </c>
      <c r="T91" s="67">
        <v>70000</v>
      </c>
      <c r="U91" s="67"/>
      <c r="V91" s="68" t="s">
        <v>2174</v>
      </c>
      <c r="W91" s="69" t="e">
        <v>#REF!</v>
      </c>
      <c r="X91" s="94"/>
      <c r="Y91" s="70" t="s">
        <v>634</v>
      </c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</row>
    <row r="92" spans="1:39" ht="31.5">
      <c r="A92" s="50"/>
      <c r="B92" s="52">
        <v>4120</v>
      </c>
      <c r="C92" s="53" t="s">
        <v>157</v>
      </c>
      <c r="D92" s="55" t="s">
        <v>637</v>
      </c>
      <c r="E92" s="53">
        <v>62</v>
      </c>
      <c r="F92" s="56" t="s">
        <v>638</v>
      </c>
      <c r="G92" s="57" t="s">
        <v>273</v>
      </c>
      <c r="H92" s="58">
        <v>75000</v>
      </c>
      <c r="I92" s="59"/>
      <c r="J92" s="60" t="s">
        <v>2403</v>
      </c>
      <c r="K92" s="61"/>
      <c r="L92" s="62"/>
      <c r="M92" s="64"/>
      <c r="N92" s="65"/>
      <c r="O92" s="65"/>
      <c r="P92" s="65"/>
      <c r="Q92" s="65"/>
      <c r="R92" s="65"/>
      <c r="S92" s="65"/>
      <c r="T92" s="67"/>
      <c r="U92" s="67"/>
      <c r="V92" s="68" t="s">
        <v>2174</v>
      </c>
      <c r="W92" s="69" t="e">
        <v>#REF!</v>
      </c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</row>
    <row r="93" spans="1:39">
      <c r="A93" s="50"/>
      <c r="B93" s="52">
        <v>4120</v>
      </c>
      <c r="C93" s="53" t="s">
        <v>157</v>
      </c>
      <c r="D93" s="55" t="s">
        <v>641</v>
      </c>
      <c r="E93" s="53">
        <v>59</v>
      </c>
      <c r="F93" s="56" t="s">
        <v>642</v>
      </c>
      <c r="G93" s="57" t="s">
        <v>78</v>
      </c>
      <c r="H93" s="58">
        <v>53300</v>
      </c>
      <c r="I93" s="59"/>
      <c r="J93" s="60" t="s">
        <v>2403</v>
      </c>
      <c r="K93" s="61"/>
      <c r="L93" s="62"/>
      <c r="M93" s="64"/>
      <c r="N93" s="65"/>
      <c r="O93" s="65"/>
      <c r="P93" s="65"/>
      <c r="Q93" s="65"/>
      <c r="R93" s="65"/>
      <c r="S93" s="65"/>
      <c r="T93" s="67"/>
      <c r="U93" s="67">
        <v>2557</v>
      </c>
      <c r="V93" s="68" t="s">
        <v>2174</v>
      </c>
      <c r="W93" s="69" t="e">
        <v>#REF!</v>
      </c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</row>
    <row r="94" spans="1:39">
      <c r="A94" s="50"/>
      <c r="B94" s="52">
        <v>4120</v>
      </c>
      <c r="C94" s="53" t="s">
        <v>157</v>
      </c>
      <c r="D94" s="55" t="s">
        <v>647</v>
      </c>
      <c r="E94" s="53">
        <v>58</v>
      </c>
      <c r="F94" s="56" t="s">
        <v>648</v>
      </c>
      <c r="G94" s="57" t="s">
        <v>78</v>
      </c>
      <c r="H94" s="58">
        <v>57000</v>
      </c>
      <c r="I94" s="59"/>
      <c r="J94" s="60" t="s">
        <v>2403</v>
      </c>
      <c r="K94" s="80" t="s">
        <v>2403</v>
      </c>
      <c r="L94" s="62"/>
      <c r="M94" s="64"/>
      <c r="N94" s="65"/>
      <c r="O94" s="65"/>
      <c r="P94" s="65"/>
      <c r="Q94" s="65"/>
      <c r="R94" s="65"/>
      <c r="S94" s="65"/>
      <c r="T94" s="67">
        <v>20</v>
      </c>
      <c r="U94" s="67">
        <v>2576</v>
      </c>
      <c r="V94" s="68" t="s">
        <v>2174</v>
      </c>
      <c r="W94" s="69" t="e">
        <v>#REF!</v>
      </c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</row>
    <row r="95" spans="1:39">
      <c r="A95" s="50"/>
      <c r="B95" s="52">
        <v>4120</v>
      </c>
      <c r="C95" s="53" t="s">
        <v>157</v>
      </c>
      <c r="D95" s="55" t="s">
        <v>653</v>
      </c>
      <c r="E95" s="53">
        <v>58</v>
      </c>
      <c r="F95" s="56" t="s">
        <v>654</v>
      </c>
      <c r="G95" s="57" t="s">
        <v>78</v>
      </c>
      <c r="H95" s="58">
        <v>48000</v>
      </c>
      <c r="I95" s="59"/>
      <c r="J95" s="60" t="s">
        <v>2403</v>
      </c>
      <c r="K95" s="80" t="s">
        <v>2403</v>
      </c>
      <c r="L95" s="62"/>
      <c r="M95" s="64"/>
      <c r="N95" s="65"/>
      <c r="O95" s="65"/>
      <c r="P95" s="65"/>
      <c r="Q95" s="65"/>
      <c r="R95" s="65"/>
      <c r="S95" s="65"/>
      <c r="T95" s="67">
        <v>20</v>
      </c>
      <c r="U95" s="67">
        <v>2576</v>
      </c>
      <c r="V95" s="68" t="s">
        <v>2174</v>
      </c>
      <c r="W95" s="69" t="e">
        <v>#REF!</v>
      </c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</row>
    <row r="96" spans="1:39">
      <c r="A96" s="50"/>
      <c r="B96" s="52">
        <v>4120</v>
      </c>
      <c r="C96" s="53" t="s">
        <v>157</v>
      </c>
      <c r="D96" s="55" t="s">
        <v>657</v>
      </c>
      <c r="E96" s="53">
        <v>61</v>
      </c>
      <c r="F96" s="56" t="s">
        <v>658</v>
      </c>
      <c r="G96" s="57" t="s">
        <v>78</v>
      </c>
      <c r="H96" s="58">
        <v>58000</v>
      </c>
      <c r="I96" s="59"/>
      <c r="J96" s="60" t="s">
        <v>2403</v>
      </c>
      <c r="K96" s="61"/>
      <c r="L96" s="62"/>
      <c r="M96" s="64"/>
      <c r="N96" s="65"/>
      <c r="O96" s="65"/>
      <c r="P96" s="65"/>
      <c r="Q96" s="65"/>
      <c r="R96" s="65"/>
      <c r="S96" s="65"/>
      <c r="T96" s="67"/>
      <c r="U96" s="67"/>
      <c r="V96" s="68" t="s">
        <v>2174</v>
      </c>
      <c r="W96" s="69" t="e">
        <v>#REF!</v>
      </c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</row>
    <row r="97" spans="1:39">
      <c r="A97" s="50"/>
      <c r="B97" s="52">
        <v>4120</v>
      </c>
      <c r="C97" s="53" t="s">
        <v>157</v>
      </c>
      <c r="D97" s="55" t="s">
        <v>663</v>
      </c>
      <c r="E97" s="53">
        <v>62</v>
      </c>
      <c r="F97" s="56" t="s">
        <v>664</v>
      </c>
      <c r="G97" s="57" t="s">
        <v>78</v>
      </c>
      <c r="H97" s="58">
        <v>61000</v>
      </c>
      <c r="I97" s="59"/>
      <c r="J97" s="60" t="s">
        <v>2403</v>
      </c>
      <c r="K97" s="61"/>
      <c r="L97" s="62"/>
      <c r="M97" s="64"/>
      <c r="N97" s="65"/>
      <c r="O97" s="65"/>
      <c r="P97" s="65"/>
      <c r="Q97" s="65"/>
      <c r="R97" s="65"/>
      <c r="S97" s="65"/>
      <c r="T97" s="67"/>
      <c r="U97" s="67"/>
      <c r="V97" s="68" t="s">
        <v>2174</v>
      </c>
      <c r="W97" s="69" t="e">
        <v>#REF!</v>
      </c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</row>
    <row r="98" spans="1:39">
      <c r="A98" s="50"/>
      <c r="B98" s="52">
        <v>4120</v>
      </c>
      <c r="C98" s="53" t="s">
        <v>157</v>
      </c>
      <c r="D98" s="55" t="s">
        <v>630</v>
      </c>
      <c r="E98" s="53">
        <v>58</v>
      </c>
      <c r="F98" s="56" t="s">
        <v>665</v>
      </c>
      <c r="G98" s="57" t="s">
        <v>78</v>
      </c>
      <c r="H98" s="58">
        <v>70000</v>
      </c>
      <c r="I98" s="59"/>
      <c r="J98" s="60" t="s">
        <v>2403</v>
      </c>
      <c r="K98" s="96" t="s">
        <v>2403</v>
      </c>
      <c r="L98" s="70"/>
      <c r="M98" s="64"/>
      <c r="N98" s="65"/>
      <c r="O98" s="65"/>
      <c r="P98" s="65"/>
      <c r="Q98" s="65"/>
      <c r="R98" s="65"/>
      <c r="S98" s="65"/>
      <c r="T98" s="67">
        <v>20</v>
      </c>
      <c r="U98" s="67">
        <v>2576</v>
      </c>
      <c r="V98" s="68" t="s">
        <v>2174</v>
      </c>
      <c r="W98" s="69" t="e">
        <v>#REF!</v>
      </c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</row>
    <row r="99" spans="1:39">
      <c r="A99" s="50"/>
      <c r="B99" s="52">
        <v>4120</v>
      </c>
      <c r="C99" s="53" t="s">
        <v>157</v>
      </c>
      <c r="D99" s="55" t="s">
        <v>668</v>
      </c>
      <c r="E99" s="53">
        <v>58</v>
      </c>
      <c r="F99" s="56" t="s">
        <v>669</v>
      </c>
      <c r="G99" s="57" t="s">
        <v>78</v>
      </c>
      <c r="H99" s="58">
        <v>210000</v>
      </c>
      <c r="I99" s="59"/>
      <c r="J99" s="60" t="s">
        <v>2403</v>
      </c>
      <c r="K99" s="80" t="s">
        <v>2403</v>
      </c>
      <c r="L99" s="70"/>
      <c r="M99" s="64"/>
      <c r="N99" s="65"/>
      <c r="O99" s="65"/>
      <c r="P99" s="65"/>
      <c r="Q99" s="65"/>
      <c r="R99" s="65"/>
      <c r="S99" s="65"/>
      <c r="T99" s="67"/>
      <c r="U99" s="67"/>
      <c r="V99" s="68"/>
      <c r="W99" s="69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</row>
    <row r="100" spans="1:39">
      <c r="A100" s="50"/>
      <c r="B100" s="52">
        <v>4120</v>
      </c>
      <c r="C100" s="53" t="s">
        <v>157</v>
      </c>
      <c r="D100" s="55" t="s">
        <v>666</v>
      </c>
      <c r="E100" s="53">
        <v>62</v>
      </c>
      <c r="F100" s="56" t="s">
        <v>667</v>
      </c>
      <c r="G100" s="57" t="s">
        <v>78</v>
      </c>
      <c r="H100" s="58">
        <v>81300</v>
      </c>
      <c r="I100" s="59"/>
      <c r="J100" s="60" t="s">
        <v>2403</v>
      </c>
      <c r="K100" s="61"/>
      <c r="L100" s="62"/>
      <c r="M100" s="64"/>
      <c r="N100" s="65"/>
      <c r="O100" s="65"/>
      <c r="P100" s="65"/>
      <c r="Q100" s="65"/>
      <c r="R100" s="65"/>
      <c r="S100" s="65"/>
      <c r="T100" s="67"/>
      <c r="U100" s="67"/>
      <c r="V100" s="68" t="s">
        <v>2174</v>
      </c>
      <c r="W100" s="69" t="e">
        <v>#REF!</v>
      </c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</row>
    <row r="101" spans="1:39">
      <c r="A101" s="50"/>
      <c r="B101" s="52">
        <v>4120</v>
      </c>
      <c r="C101" s="53" t="s">
        <v>157</v>
      </c>
      <c r="D101" s="55" t="s">
        <v>670</v>
      </c>
      <c r="E101" s="53">
        <v>58</v>
      </c>
      <c r="F101" s="56" t="s">
        <v>671</v>
      </c>
      <c r="G101" s="57" t="s">
        <v>78</v>
      </c>
      <c r="H101" s="58">
        <v>295000</v>
      </c>
      <c r="I101" s="59"/>
      <c r="J101" s="60" t="s">
        <v>2403</v>
      </c>
      <c r="K101" s="80" t="s">
        <v>2403</v>
      </c>
      <c r="L101" s="62"/>
      <c r="M101" s="64"/>
      <c r="N101" s="65"/>
      <c r="O101" s="65"/>
      <c r="P101" s="65"/>
      <c r="Q101" s="65"/>
      <c r="R101" s="65"/>
      <c r="S101" s="65"/>
      <c r="T101" s="67">
        <v>20</v>
      </c>
      <c r="U101" s="67">
        <v>2576</v>
      </c>
      <c r="V101" s="68" t="s">
        <v>2174</v>
      </c>
      <c r="W101" s="69" t="e">
        <v>#REF!</v>
      </c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</row>
    <row r="102" spans="1:39">
      <c r="A102" s="50"/>
      <c r="B102" s="52">
        <v>4120</v>
      </c>
      <c r="C102" s="53" t="s">
        <v>157</v>
      </c>
      <c r="D102" s="55" t="s">
        <v>672</v>
      </c>
      <c r="E102" s="53">
        <v>58</v>
      </c>
      <c r="F102" s="56" t="s">
        <v>673</v>
      </c>
      <c r="G102" s="57" t="s">
        <v>78</v>
      </c>
      <c r="H102" s="58">
        <v>385000</v>
      </c>
      <c r="I102" s="59"/>
      <c r="J102" s="60" t="s">
        <v>2403</v>
      </c>
      <c r="K102" s="80" t="s">
        <v>2403</v>
      </c>
      <c r="L102" s="62"/>
      <c r="M102" s="64"/>
      <c r="N102" s="65"/>
      <c r="O102" s="65"/>
      <c r="P102" s="65"/>
      <c r="Q102" s="65"/>
      <c r="R102" s="65"/>
      <c r="S102" s="65"/>
      <c r="T102" s="67">
        <v>20</v>
      </c>
      <c r="U102" s="67">
        <v>2576</v>
      </c>
      <c r="V102" s="68" t="s">
        <v>2174</v>
      </c>
      <c r="W102" s="69" t="e">
        <v>#REF!</v>
      </c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</row>
    <row r="103" spans="1:39">
      <c r="A103" s="50"/>
      <c r="B103" s="52">
        <v>4120</v>
      </c>
      <c r="C103" s="53" t="s">
        <v>157</v>
      </c>
      <c r="D103" s="55" t="s">
        <v>674</v>
      </c>
      <c r="E103" s="53">
        <v>59</v>
      </c>
      <c r="F103" s="56" t="s">
        <v>675</v>
      </c>
      <c r="G103" s="57" t="s">
        <v>78</v>
      </c>
      <c r="H103" s="58">
        <v>750000</v>
      </c>
      <c r="I103" s="59"/>
      <c r="J103" s="60" t="s">
        <v>2403</v>
      </c>
      <c r="K103" s="80" t="s">
        <v>2403</v>
      </c>
      <c r="L103" s="62"/>
      <c r="M103" s="64"/>
      <c r="N103" s="65"/>
      <c r="O103" s="65"/>
      <c r="P103" s="65"/>
      <c r="Q103" s="65"/>
      <c r="R103" s="65"/>
      <c r="S103" s="65"/>
      <c r="T103" s="67"/>
      <c r="U103" s="67">
        <v>2557</v>
      </c>
      <c r="V103" s="68" t="s">
        <v>2174</v>
      </c>
      <c r="W103" s="69" t="e">
        <v>#REF!</v>
      </c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</row>
    <row r="104" spans="1:39">
      <c r="A104" s="50"/>
      <c r="B104" s="52">
        <v>4140</v>
      </c>
      <c r="C104" s="53" t="s">
        <v>157</v>
      </c>
      <c r="D104" s="55" t="s">
        <v>676</v>
      </c>
      <c r="E104" s="53">
        <v>52</v>
      </c>
      <c r="F104" s="56" t="s">
        <v>677</v>
      </c>
      <c r="G104" s="57" t="s">
        <v>78</v>
      </c>
      <c r="H104" s="58">
        <v>12000</v>
      </c>
      <c r="I104" s="59"/>
      <c r="J104" s="60" t="s">
        <v>2404</v>
      </c>
      <c r="K104" s="80" t="s">
        <v>2404</v>
      </c>
      <c r="L104" s="62"/>
      <c r="M104" s="64"/>
      <c r="N104" s="65"/>
      <c r="O104" s="65"/>
      <c r="P104" s="65"/>
      <c r="Q104" s="65"/>
      <c r="R104" s="65"/>
      <c r="S104" s="65"/>
      <c r="T104" s="67">
        <v>15</v>
      </c>
      <c r="U104" s="67">
        <v>2565</v>
      </c>
      <c r="V104" s="68" t="s">
        <v>2174</v>
      </c>
      <c r="W104" s="69" t="e">
        <v>#REF!</v>
      </c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</row>
    <row r="105" spans="1:39">
      <c r="A105" s="50"/>
      <c r="B105" s="52">
        <v>4140</v>
      </c>
      <c r="C105" s="53" t="s">
        <v>372</v>
      </c>
      <c r="D105" s="55" t="s">
        <v>678</v>
      </c>
      <c r="E105" s="53">
        <v>56</v>
      </c>
      <c r="F105" s="56" t="s">
        <v>679</v>
      </c>
      <c r="G105" s="57" t="s">
        <v>48</v>
      </c>
      <c r="H105" s="58">
        <v>35000</v>
      </c>
      <c r="I105" s="59"/>
      <c r="J105" s="60" t="s">
        <v>2404</v>
      </c>
      <c r="K105" s="80" t="s">
        <v>2404</v>
      </c>
      <c r="L105" s="62" t="s">
        <v>680</v>
      </c>
      <c r="M105" s="64"/>
      <c r="N105" s="65"/>
      <c r="O105" s="65"/>
      <c r="P105" s="65"/>
      <c r="Q105" s="65"/>
      <c r="R105" s="65"/>
      <c r="S105" s="65"/>
      <c r="T105" s="67">
        <v>15</v>
      </c>
      <c r="U105" s="67">
        <v>2569</v>
      </c>
      <c r="V105" s="68" t="s">
        <v>2174</v>
      </c>
      <c r="W105" s="69" t="e">
        <v>#REF!</v>
      </c>
      <c r="X105" s="70" t="s">
        <v>548</v>
      </c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</row>
    <row r="106" spans="1:39">
      <c r="A106" s="50"/>
      <c r="B106" s="52">
        <v>4140</v>
      </c>
      <c r="C106" s="53" t="s">
        <v>157</v>
      </c>
      <c r="D106" s="55" t="s">
        <v>681</v>
      </c>
      <c r="E106" s="53">
        <v>58</v>
      </c>
      <c r="F106" s="56" t="s">
        <v>682</v>
      </c>
      <c r="G106" s="57" t="s">
        <v>78</v>
      </c>
      <c r="H106" s="58">
        <v>19500</v>
      </c>
      <c r="I106" s="59"/>
      <c r="J106" s="60" t="s">
        <v>2404</v>
      </c>
      <c r="K106" s="80" t="s">
        <v>2404</v>
      </c>
      <c r="L106" s="62"/>
      <c r="M106" s="64"/>
      <c r="N106" s="65"/>
      <c r="O106" s="65"/>
      <c r="P106" s="65"/>
      <c r="Q106" s="65"/>
      <c r="R106" s="65"/>
      <c r="S106" s="65"/>
      <c r="T106" s="67"/>
      <c r="U106" s="67">
        <v>2556</v>
      </c>
      <c r="V106" s="68" t="s">
        <v>2174</v>
      </c>
      <c r="W106" s="69" t="e">
        <v>#REF!</v>
      </c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</row>
    <row r="107" spans="1:39">
      <c r="A107" s="37"/>
      <c r="B107" s="97">
        <v>4200</v>
      </c>
      <c r="C107" s="98"/>
      <c r="D107" s="501" t="s">
        <v>4085</v>
      </c>
      <c r="E107" s="499"/>
      <c r="F107" s="499"/>
      <c r="G107" s="37"/>
      <c r="H107" s="37"/>
      <c r="I107" s="89"/>
      <c r="J107" s="500"/>
      <c r="K107" s="499"/>
      <c r="L107" s="499"/>
      <c r="M107" s="90"/>
      <c r="N107" s="37"/>
      <c r="O107" s="37"/>
      <c r="P107" s="89"/>
      <c r="Q107" s="500"/>
      <c r="R107" s="499"/>
      <c r="S107" s="499"/>
      <c r="T107" s="90"/>
      <c r="U107" s="37"/>
      <c r="V107" s="37" t="s">
        <v>2176</v>
      </c>
      <c r="W107" s="37">
        <v>13</v>
      </c>
      <c r="X107" s="500"/>
      <c r="Y107" s="499"/>
      <c r="Z107" s="49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</row>
    <row r="108" spans="1:39">
      <c r="A108" s="50"/>
      <c r="B108" s="52">
        <v>4210</v>
      </c>
      <c r="C108" s="53" t="s">
        <v>683</v>
      </c>
      <c r="D108" s="55" t="s">
        <v>684</v>
      </c>
      <c r="E108" s="53">
        <v>62</v>
      </c>
      <c r="F108" s="56" t="s">
        <v>685</v>
      </c>
      <c r="G108" s="57" t="s">
        <v>78</v>
      </c>
      <c r="H108" s="58">
        <v>12000</v>
      </c>
      <c r="I108" s="59"/>
      <c r="J108" s="60" t="s">
        <v>2405</v>
      </c>
      <c r="K108" s="61"/>
      <c r="L108" s="62"/>
      <c r="M108" s="64"/>
      <c r="N108" s="65"/>
      <c r="O108" s="65"/>
      <c r="P108" s="65"/>
      <c r="Q108" s="65"/>
      <c r="R108" s="65"/>
      <c r="S108" s="65"/>
      <c r="T108" s="67"/>
      <c r="U108" s="67"/>
      <c r="V108" s="68" t="s">
        <v>2176</v>
      </c>
      <c r="W108" s="69" t="e">
        <v>#REF!</v>
      </c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</row>
    <row r="109" spans="1:39">
      <c r="A109" s="50"/>
      <c r="B109" s="52">
        <v>4210</v>
      </c>
      <c r="C109" s="53" t="s">
        <v>683</v>
      </c>
      <c r="D109" s="55" t="s">
        <v>686</v>
      </c>
      <c r="E109" s="53">
        <v>62</v>
      </c>
      <c r="F109" s="56" t="s">
        <v>687</v>
      </c>
      <c r="G109" s="57" t="s">
        <v>78</v>
      </c>
      <c r="H109" s="58">
        <v>15000</v>
      </c>
      <c r="I109" s="59"/>
      <c r="J109" s="60" t="s">
        <v>2405</v>
      </c>
      <c r="K109" s="61"/>
      <c r="L109" s="62"/>
      <c r="M109" s="64"/>
      <c r="N109" s="65"/>
      <c r="O109" s="65"/>
      <c r="P109" s="65"/>
      <c r="Q109" s="65"/>
      <c r="R109" s="65"/>
      <c r="S109" s="65"/>
      <c r="T109" s="67"/>
      <c r="U109" s="67"/>
      <c r="V109" s="68" t="s">
        <v>2176</v>
      </c>
      <c r="W109" s="69" t="e">
        <v>#REF!</v>
      </c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</row>
    <row r="110" spans="1:39">
      <c r="A110" s="50"/>
      <c r="B110" s="52">
        <v>4310</v>
      </c>
      <c r="C110" s="334" t="s">
        <v>683</v>
      </c>
      <c r="D110" s="335" t="s">
        <v>738</v>
      </c>
      <c r="E110" s="334">
        <v>62</v>
      </c>
      <c r="F110" s="336" t="s">
        <v>4113</v>
      </c>
      <c r="G110" s="337" t="s">
        <v>78</v>
      </c>
      <c r="H110" s="338">
        <v>450000</v>
      </c>
      <c r="I110" s="339"/>
      <c r="J110" s="60" t="s">
        <v>2407</v>
      </c>
      <c r="K110" s="61"/>
      <c r="L110" s="62"/>
      <c r="M110" s="64"/>
      <c r="N110" s="65"/>
      <c r="O110" s="65"/>
      <c r="P110" s="65"/>
      <c r="Q110" s="65"/>
      <c r="R110" s="65"/>
      <c r="S110" s="65"/>
      <c r="T110" s="67"/>
      <c r="U110" s="67"/>
      <c r="V110" s="68"/>
      <c r="W110" s="69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</row>
    <row r="111" spans="1:39">
      <c r="A111" s="50"/>
      <c r="B111" s="52">
        <v>4210</v>
      </c>
      <c r="C111" s="53" t="s">
        <v>683</v>
      </c>
      <c r="D111" s="55" t="s">
        <v>688</v>
      </c>
      <c r="E111" s="53">
        <v>60</v>
      </c>
      <c r="F111" s="56" t="s">
        <v>689</v>
      </c>
      <c r="G111" s="57" t="s">
        <v>28</v>
      </c>
      <c r="H111" s="58">
        <v>6900000</v>
      </c>
      <c r="I111" s="59"/>
      <c r="J111" s="60" t="s">
        <v>2405</v>
      </c>
      <c r="K111" s="61"/>
      <c r="L111" s="62"/>
      <c r="M111" s="64"/>
      <c r="N111" s="65"/>
      <c r="O111" s="65"/>
      <c r="P111" s="65"/>
      <c r="Q111" s="65"/>
      <c r="R111" s="65"/>
      <c r="S111" s="65"/>
      <c r="T111" s="67"/>
      <c r="U111" s="67">
        <v>2558</v>
      </c>
      <c r="V111" s="68" t="s">
        <v>2176</v>
      </c>
      <c r="W111" s="69" t="e">
        <v>#REF!</v>
      </c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</row>
    <row r="112" spans="1:39">
      <c r="A112" s="50"/>
      <c r="B112" s="52">
        <v>4210</v>
      </c>
      <c r="C112" s="53" t="s">
        <v>683</v>
      </c>
      <c r="D112" s="55" t="s">
        <v>692</v>
      </c>
      <c r="E112" s="53">
        <v>60</v>
      </c>
      <c r="F112" s="56" t="s">
        <v>693</v>
      </c>
      <c r="G112" s="57" t="s">
        <v>28</v>
      </c>
      <c r="H112" s="58">
        <v>2500000</v>
      </c>
      <c r="I112" s="59"/>
      <c r="J112" s="60" t="s">
        <v>2405</v>
      </c>
      <c r="K112" s="61"/>
      <c r="L112" s="62"/>
      <c r="M112" s="64"/>
      <c r="N112" s="65"/>
      <c r="O112" s="65"/>
      <c r="P112" s="65"/>
      <c r="Q112" s="65"/>
      <c r="R112" s="65"/>
      <c r="S112" s="65"/>
      <c r="T112" s="67"/>
      <c r="U112" s="67">
        <v>2558</v>
      </c>
      <c r="V112" s="68" t="s">
        <v>2176</v>
      </c>
      <c r="W112" s="69" t="e">
        <v>#REF!</v>
      </c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</row>
    <row r="113" spans="1:39">
      <c r="A113" s="50"/>
      <c r="B113" s="52">
        <v>4210</v>
      </c>
      <c r="C113" s="53" t="s">
        <v>683</v>
      </c>
      <c r="D113" s="55" t="s">
        <v>694</v>
      </c>
      <c r="E113" s="53">
        <v>59</v>
      </c>
      <c r="F113" s="56" t="s">
        <v>695</v>
      </c>
      <c r="G113" s="57" t="s">
        <v>28</v>
      </c>
      <c r="H113" s="58">
        <v>32000000</v>
      </c>
      <c r="I113" s="59">
        <v>42591</v>
      </c>
      <c r="J113" s="60" t="s">
        <v>2405</v>
      </c>
      <c r="K113" s="61"/>
      <c r="L113" s="62"/>
      <c r="M113" s="64"/>
      <c r="N113" s="65"/>
      <c r="O113" s="65"/>
      <c r="P113" s="65"/>
      <c r="Q113" s="65"/>
      <c r="R113" s="65"/>
      <c r="S113" s="65"/>
      <c r="T113" s="67"/>
      <c r="U113" s="67">
        <v>2557</v>
      </c>
      <c r="V113" s="68" t="s">
        <v>2176</v>
      </c>
      <c r="W113" s="69" t="e">
        <v>#REF!</v>
      </c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</row>
    <row r="114" spans="1:39">
      <c r="A114" s="50"/>
      <c r="B114" s="52">
        <v>4210</v>
      </c>
      <c r="C114" s="53" t="s">
        <v>683</v>
      </c>
      <c r="D114" s="55" t="s">
        <v>696</v>
      </c>
      <c r="E114" s="53">
        <v>59</v>
      </c>
      <c r="F114" s="56" t="s">
        <v>697</v>
      </c>
      <c r="G114" s="57" t="s">
        <v>28</v>
      </c>
      <c r="H114" s="58">
        <v>12000000</v>
      </c>
      <c r="I114" s="59">
        <v>42591</v>
      </c>
      <c r="J114" s="60" t="s">
        <v>2405</v>
      </c>
      <c r="K114" s="61"/>
      <c r="L114" s="62"/>
      <c r="M114" s="64"/>
      <c r="N114" s="65"/>
      <c r="O114" s="65"/>
      <c r="P114" s="65"/>
      <c r="Q114" s="65"/>
      <c r="R114" s="65"/>
      <c r="S114" s="65"/>
      <c r="T114" s="67"/>
      <c r="U114" s="67">
        <v>2557</v>
      </c>
      <c r="V114" s="68" t="s">
        <v>2176</v>
      </c>
      <c r="W114" s="69" t="e">
        <v>#REF!</v>
      </c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</row>
    <row r="115" spans="1:39">
      <c r="A115" s="50"/>
      <c r="B115" s="52">
        <v>4210</v>
      </c>
      <c r="C115" s="53" t="s">
        <v>683</v>
      </c>
      <c r="D115" s="55" t="s">
        <v>698</v>
      </c>
      <c r="E115" s="53">
        <v>62</v>
      </c>
      <c r="F115" s="56" t="s">
        <v>699</v>
      </c>
      <c r="G115" s="57" t="s">
        <v>28</v>
      </c>
      <c r="H115" s="58">
        <v>3500000</v>
      </c>
      <c r="I115" s="59"/>
      <c r="J115" s="60" t="s">
        <v>2405</v>
      </c>
      <c r="K115" s="61"/>
      <c r="L115" s="62"/>
      <c r="M115" s="64"/>
      <c r="N115" s="65"/>
      <c r="O115" s="65"/>
      <c r="P115" s="65"/>
      <c r="Q115" s="65"/>
      <c r="R115" s="65"/>
      <c r="S115" s="65"/>
      <c r="T115" s="67"/>
      <c r="U115" s="67"/>
      <c r="V115" s="68" t="s">
        <v>2176</v>
      </c>
      <c r="W115" s="69" t="e">
        <v>#REF!</v>
      </c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</row>
    <row r="116" spans="1:39">
      <c r="A116" s="50"/>
      <c r="B116" s="52">
        <v>4320</v>
      </c>
      <c r="C116" s="334" t="s">
        <v>256</v>
      </c>
      <c r="D116" s="335" t="s">
        <v>837</v>
      </c>
      <c r="E116" s="334">
        <v>54</v>
      </c>
      <c r="F116" s="336" t="s">
        <v>838</v>
      </c>
      <c r="G116" s="337" t="s">
        <v>78</v>
      </c>
      <c r="H116" s="338">
        <v>950000</v>
      </c>
      <c r="I116" s="339"/>
      <c r="J116" s="60" t="s">
        <v>2409</v>
      </c>
      <c r="K116" s="80" t="s">
        <v>2409</v>
      </c>
      <c r="L116" s="62"/>
      <c r="M116" s="64"/>
      <c r="N116" s="65"/>
      <c r="O116" s="65"/>
      <c r="P116" s="65"/>
      <c r="Q116" s="65"/>
      <c r="R116" s="65"/>
      <c r="S116" s="65"/>
      <c r="T116" s="67"/>
      <c r="U116" s="67"/>
      <c r="V116" s="68"/>
      <c r="W116" s="69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</row>
    <row r="117" spans="1:39">
      <c r="A117" s="50"/>
      <c r="B117" s="52">
        <v>4320</v>
      </c>
      <c r="C117" s="334" t="s">
        <v>256</v>
      </c>
      <c r="D117" s="335" t="s">
        <v>850</v>
      </c>
      <c r="E117" s="334">
        <v>54</v>
      </c>
      <c r="F117" s="336" t="s">
        <v>851</v>
      </c>
      <c r="G117" s="337" t="s">
        <v>78</v>
      </c>
      <c r="H117" s="338">
        <v>406800</v>
      </c>
      <c r="I117" s="339"/>
      <c r="J117" s="60" t="s">
        <v>2409</v>
      </c>
      <c r="K117" s="80" t="s">
        <v>2426</v>
      </c>
      <c r="L117" s="62"/>
      <c r="M117" s="64"/>
      <c r="N117" s="65"/>
      <c r="O117" s="65"/>
      <c r="P117" s="65"/>
      <c r="Q117" s="65"/>
      <c r="R117" s="65"/>
      <c r="S117" s="65"/>
      <c r="T117" s="67"/>
      <c r="U117" s="67"/>
      <c r="V117" s="68"/>
      <c r="W117" s="69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</row>
    <row r="118" spans="1:39">
      <c r="A118" s="50"/>
      <c r="B118" s="52">
        <v>4210</v>
      </c>
      <c r="C118" s="358" t="s">
        <v>37</v>
      </c>
      <c r="D118" s="359" t="s">
        <v>702</v>
      </c>
      <c r="E118" s="358">
        <v>58</v>
      </c>
      <c r="F118" s="360" t="s">
        <v>4112</v>
      </c>
      <c r="G118" s="361" t="s">
        <v>704</v>
      </c>
      <c r="H118" s="362">
        <v>1490000</v>
      </c>
      <c r="I118" s="363"/>
      <c r="J118" s="60" t="s">
        <v>2405</v>
      </c>
      <c r="K118" s="80" t="s">
        <v>2405</v>
      </c>
      <c r="L118" s="62"/>
      <c r="M118" s="64"/>
      <c r="N118" s="65"/>
      <c r="O118" s="65"/>
      <c r="P118" s="65"/>
      <c r="Q118" s="65"/>
      <c r="R118" s="65"/>
      <c r="S118" s="65"/>
      <c r="T118" s="67"/>
      <c r="U118" s="67">
        <v>2556</v>
      </c>
      <c r="V118" s="68" t="s">
        <v>2176</v>
      </c>
      <c r="W118" s="69" t="e">
        <v>#REF!</v>
      </c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</row>
    <row r="119" spans="1:39" ht="31.5">
      <c r="A119" s="50"/>
      <c r="B119" s="52">
        <v>4210</v>
      </c>
      <c r="C119" s="53" t="s">
        <v>683</v>
      </c>
      <c r="D119" s="55" t="s">
        <v>705</v>
      </c>
      <c r="E119" s="53">
        <v>62</v>
      </c>
      <c r="F119" s="56" t="s">
        <v>706</v>
      </c>
      <c r="G119" s="57" t="s">
        <v>707</v>
      </c>
      <c r="H119" s="58">
        <v>14700</v>
      </c>
      <c r="I119" s="59"/>
      <c r="J119" s="60" t="s">
        <v>2405</v>
      </c>
      <c r="K119" s="61"/>
      <c r="L119" s="62"/>
      <c r="M119" s="64"/>
      <c r="N119" s="65"/>
      <c r="O119" s="65"/>
      <c r="P119" s="65"/>
      <c r="Q119" s="65"/>
      <c r="R119" s="65"/>
      <c r="S119" s="65"/>
      <c r="T119" s="67"/>
      <c r="U119" s="67"/>
      <c r="V119" s="68" t="s">
        <v>2176</v>
      </c>
      <c r="W119" s="69" t="e">
        <v>#REF!</v>
      </c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</row>
    <row r="120" spans="1:39" ht="31.5">
      <c r="A120" s="50"/>
      <c r="B120" s="52">
        <v>4210</v>
      </c>
      <c r="C120" s="53" t="s">
        <v>683</v>
      </c>
      <c r="D120" s="55" t="s">
        <v>708</v>
      </c>
      <c r="E120" s="53">
        <v>62</v>
      </c>
      <c r="F120" s="56" t="s">
        <v>709</v>
      </c>
      <c r="G120" s="57" t="s">
        <v>707</v>
      </c>
      <c r="H120" s="58">
        <v>16200</v>
      </c>
      <c r="I120" s="59"/>
      <c r="J120" s="60" t="s">
        <v>2405</v>
      </c>
      <c r="K120" s="61"/>
      <c r="L120" s="62"/>
      <c r="M120" s="64"/>
      <c r="N120" s="65"/>
      <c r="O120" s="65"/>
      <c r="P120" s="65"/>
      <c r="Q120" s="65"/>
      <c r="R120" s="65"/>
      <c r="S120" s="65"/>
      <c r="T120" s="67"/>
      <c r="U120" s="67"/>
      <c r="V120" s="68" t="s">
        <v>2176</v>
      </c>
      <c r="W120" s="69" t="e">
        <v>#REF!</v>
      </c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</row>
    <row r="121" spans="1:39">
      <c r="A121" s="50"/>
      <c r="B121" s="52">
        <v>4210</v>
      </c>
      <c r="C121" s="53" t="s">
        <v>683</v>
      </c>
      <c r="D121" s="55" t="s">
        <v>710</v>
      </c>
      <c r="E121" s="53">
        <v>54</v>
      </c>
      <c r="F121" s="56" t="s">
        <v>711</v>
      </c>
      <c r="G121" s="57" t="s">
        <v>712</v>
      </c>
      <c r="H121" s="58">
        <v>33000</v>
      </c>
      <c r="I121" s="59"/>
      <c r="J121" s="60" t="s">
        <v>2405</v>
      </c>
      <c r="K121" s="80" t="s">
        <v>2405</v>
      </c>
      <c r="L121" s="62"/>
      <c r="M121" s="64"/>
      <c r="N121" s="65"/>
      <c r="O121" s="65"/>
      <c r="P121" s="65"/>
      <c r="Q121" s="65"/>
      <c r="R121" s="65"/>
      <c r="S121" s="65"/>
      <c r="T121" s="67">
        <v>10</v>
      </c>
      <c r="U121" s="67">
        <v>2562</v>
      </c>
      <c r="V121" s="68" t="s">
        <v>2176</v>
      </c>
      <c r="W121" s="69" t="e">
        <v>#REF!</v>
      </c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</row>
    <row r="122" spans="1:39">
      <c r="A122" s="50"/>
      <c r="B122" s="52">
        <v>4210</v>
      </c>
      <c r="C122" s="53" t="s">
        <v>683</v>
      </c>
      <c r="D122" s="55" t="s">
        <v>714</v>
      </c>
      <c r="E122" s="53">
        <v>54</v>
      </c>
      <c r="F122" s="56" t="s">
        <v>715</v>
      </c>
      <c r="G122" s="57" t="s">
        <v>712</v>
      </c>
      <c r="H122" s="58">
        <v>39600</v>
      </c>
      <c r="I122" s="59"/>
      <c r="J122" s="60" t="s">
        <v>2405</v>
      </c>
      <c r="K122" s="80" t="s">
        <v>2405</v>
      </c>
      <c r="L122" s="62"/>
      <c r="M122" s="64"/>
      <c r="N122" s="65"/>
      <c r="O122" s="65"/>
      <c r="P122" s="65"/>
      <c r="Q122" s="65"/>
      <c r="R122" s="65"/>
      <c r="S122" s="65"/>
      <c r="T122" s="67">
        <v>10</v>
      </c>
      <c r="U122" s="67">
        <v>2562</v>
      </c>
      <c r="V122" s="68" t="s">
        <v>2176</v>
      </c>
      <c r="W122" s="69" t="e">
        <v>#REF!</v>
      </c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</row>
    <row r="123" spans="1:39">
      <c r="A123" s="50"/>
      <c r="B123" s="52">
        <v>4210</v>
      </c>
      <c r="C123" s="53" t="s">
        <v>256</v>
      </c>
      <c r="D123" s="55" t="s">
        <v>717</v>
      </c>
      <c r="E123" s="53">
        <v>57</v>
      </c>
      <c r="F123" s="56" t="s">
        <v>718</v>
      </c>
      <c r="G123" s="57" t="s">
        <v>273</v>
      </c>
      <c r="H123" s="58">
        <v>40000</v>
      </c>
      <c r="I123" s="59"/>
      <c r="J123" s="101"/>
      <c r="K123" s="80" t="s">
        <v>2405</v>
      </c>
      <c r="L123" s="62"/>
      <c r="M123" s="64"/>
      <c r="N123" s="65"/>
      <c r="O123" s="65"/>
      <c r="P123" s="65"/>
      <c r="Q123" s="65"/>
      <c r="R123" s="65"/>
      <c r="S123" s="65"/>
      <c r="T123" s="67"/>
      <c r="U123" s="67"/>
      <c r="V123" s="68" t="s">
        <v>2176</v>
      </c>
      <c r="W123" s="69" t="e">
        <v>#REF!</v>
      </c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</row>
    <row r="124" spans="1:39">
      <c r="A124" s="37"/>
      <c r="B124" s="97">
        <v>4300</v>
      </c>
      <c r="C124" s="98"/>
      <c r="D124" s="501" t="s">
        <v>4086</v>
      </c>
      <c r="E124" s="499"/>
      <c r="F124" s="499"/>
      <c r="G124" s="37"/>
      <c r="H124" s="37"/>
      <c r="I124" s="89"/>
      <c r="J124" s="500"/>
      <c r="K124" s="499"/>
      <c r="L124" s="499"/>
      <c r="M124" s="90"/>
      <c r="N124" s="37"/>
      <c r="O124" s="37"/>
      <c r="P124" s="89"/>
      <c r="Q124" s="500"/>
      <c r="R124" s="499"/>
      <c r="S124" s="499"/>
      <c r="T124" s="90"/>
      <c r="U124" s="37"/>
      <c r="V124" s="37" t="s">
        <v>2178</v>
      </c>
      <c r="W124" s="37">
        <v>37</v>
      </c>
      <c r="X124" s="500"/>
      <c r="Y124" s="499"/>
      <c r="Z124" s="49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</row>
    <row r="125" spans="1:39">
      <c r="A125" s="50"/>
      <c r="B125" s="52">
        <v>4310</v>
      </c>
      <c r="C125" s="53" t="s">
        <v>157</v>
      </c>
      <c r="D125" s="55" t="s">
        <v>722</v>
      </c>
      <c r="E125" s="53">
        <v>53</v>
      </c>
      <c r="F125" s="56" t="s">
        <v>724</v>
      </c>
      <c r="G125" s="57" t="s">
        <v>78</v>
      </c>
      <c r="H125" s="58">
        <v>9500</v>
      </c>
      <c r="I125" s="59"/>
      <c r="J125" s="60" t="s">
        <v>2407</v>
      </c>
      <c r="K125" s="80" t="s">
        <v>2407</v>
      </c>
      <c r="L125" s="62"/>
      <c r="M125" s="64"/>
      <c r="N125" s="65"/>
      <c r="O125" s="65"/>
      <c r="P125" s="65"/>
      <c r="Q125" s="65"/>
      <c r="R125" s="65"/>
      <c r="S125" s="65"/>
      <c r="T125" s="67">
        <v>15</v>
      </c>
      <c r="U125" s="67">
        <v>2566</v>
      </c>
      <c r="V125" s="68" t="s">
        <v>2178</v>
      </c>
      <c r="W125" s="69" t="e">
        <v>#REF!</v>
      </c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</row>
    <row r="126" spans="1:39">
      <c r="A126" s="50"/>
      <c r="B126" s="52">
        <v>4310</v>
      </c>
      <c r="C126" s="53" t="s">
        <v>157</v>
      </c>
      <c r="D126" s="55" t="s">
        <v>749</v>
      </c>
      <c r="E126" s="53">
        <v>54</v>
      </c>
      <c r="F126" s="56" t="s">
        <v>751</v>
      </c>
      <c r="G126" s="57" t="s">
        <v>78</v>
      </c>
      <c r="H126" s="58">
        <v>28000</v>
      </c>
      <c r="I126" s="59"/>
      <c r="J126" s="60" t="s">
        <v>2407</v>
      </c>
      <c r="K126" s="80" t="s">
        <v>2407</v>
      </c>
      <c r="L126" s="62"/>
      <c r="M126" s="64"/>
      <c r="N126" s="65"/>
      <c r="O126" s="65"/>
      <c r="P126" s="65"/>
      <c r="Q126" s="65"/>
      <c r="R126" s="65"/>
      <c r="S126" s="65"/>
      <c r="T126" s="67">
        <v>15</v>
      </c>
      <c r="U126" s="67">
        <v>2567</v>
      </c>
      <c r="V126" s="68" t="s">
        <v>2178</v>
      </c>
      <c r="W126" s="69" t="e">
        <v>#REF!</v>
      </c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</row>
    <row r="127" spans="1:39">
      <c r="A127" s="50"/>
      <c r="B127" s="52">
        <v>4310</v>
      </c>
      <c r="C127" s="53" t="s">
        <v>157</v>
      </c>
      <c r="D127" s="55" t="s">
        <v>763</v>
      </c>
      <c r="E127" s="53">
        <v>55</v>
      </c>
      <c r="F127" s="56" t="s">
        <v>764</v>
      </c>
      <c r="G127" s="57" t="s">
        <v>78</v>
      </c>
      <c r="H127" s="58">
        <v>29500</v>
      </c>
      <c r="I127" s="59"/>
      <c r="J127" s="60" t="s">
        <v>2407</v>
      </c>
      <c r="K127" s="80" t="s">
        <v>2407</v>
      </c>
      <c r="L127" s="62"/>
      <c r="M127" s="64"/>
      <c r="N127" s="65"/>
      <c r="O127" s="65"/>
      <c r="P127" s="65"/>
      <c r="Q127" s="65"/>
      <c r="R127" s="65"/>
      <c r="S127" s="65"/>
      <c r="T127" s="67">
        <v>15</v>
      </c>
      <c r="U127" s="67">
        <v>2568</v>
      </c>
      <c r="V127" s="68" t="s">
        <v>2178</v>
      </c>
      <c r="W127" s="69" t="e">
        <v>#REF!</v>
      </c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</row>
    <row r="128" spans="1:39">
      <c r="A128" s="50"/>
      <c r="B128" s="52">
        <v>4310</v>
      </c>
      <c r="C128" s="53" t="s">
        <v>157</v>
      </c>
      <c r="D128" s="55" t="s">
        <v>775</v>
      </c>
      <c r="E128" s="53">
        <v>53</v>
      </c>
      <c r="F128" s="56" t="s">
        <v>776</v>
      </c>
      <c r="G128" s="57" t="s">
        <v>78</v>
      </c>
      <c r="H128" s="58">
        <v>165000</v>
      </c>
      <c r="I128" s="59"/>
      <c r="J128" s="60" t="s">
        <v>2407</v>
      </c>
      <c r="K128" s="80" t="s">
        <v>2407</v>
      </c>
      <c r="L128" s="62"/>
      <c r="M128" s="64"/>
      <c r="N128" s="65"/>
      <c r="O128" s="65"/>
      <c r="P128" s="65"/>
      <c r="Q128" s="65"/>
      <c r="R128" s="65"/>
      <c r="S128" s="65"/>
      <c r="T128" s="67">
        <v>15</v>
      </c>
      <c r="U128" s="67">
        <v>2566</v>
      </c>
      <c r="V128" s="68" t="s">
        <v>2178</v>
      </c>
      <c r="W128" s="69" t="e">
        <v>#REF!</v>
      </c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</row>
    <row r="129" spans="1:39" ht="31.5">
      <c r="A129" s="50"/>
      <c r="B129" s="52">
        <v>4320</v>
      </c>
      <c r="C129" s="334" t="s">
        <v>256</v>
      </c>
      <c r="D129" s="335" t="s">
        <v>837</v>
      </c>
      <c r="E129" s="334">
        <v>54</v>
      </c>
      <c r="F129" s="336" t="s">
        <v>4117</v>
      </c>
      <c r="G129" s="337" t="s">
        <v>78</v>
      </c>
      <c r="H129" s="338">
        <v>950000</v>
      </c>
      <c r="I129" s="339"/>
      <c r="J129" s="60" t="s">
        <v>2409</v>
      </c>
      <c r="K129" s="80" t="s">
        <v>2409</v>
      </c>
      <c r="L129" s="62"/>
      <c r="M129" s="64"/>
      <c r="N129" s="65"/>
      <c r="O129" s="65"/>
      <c r="P129" s="65"/>
      <c r="Q129" s="65"/>
      <c r="R129" s="65"/>
      <c r="S129" s="65"/>
      <c r="T129" s="67"/>
      <c r="U129" s="67"/>
      <c r="V129" s="68"/>
      <c r="W129" s="69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</row>
    <row r="130" spans="1:39" ht="31.5">
      <c r="A130" s="50"/>
      <c r="B130" s="52">
        <v>4320</v>
      </c>
      <c r="C130" s="334" t="s">
        <v>256</v>
      </c>
      <c r="D130" s="335" t="s">
        <v>850</v>
      </c>
      <c r="E130" s="334">
        <v>54</v>
      </c>
      <c r="F130" s="336" t="s">
        <v>4118</v>
      </c>
      <c r="G130" s="337" t="s">
        <v>78</v>
      </c>
      <c r="H130" s="338">
        <v>406800</v>
      </c>
      <c r="I130" s="339"/>
      <c r="J130" s="60" t="s">
        <v>2409</v>
      </c>
      <c r="K130" s="80" t="s">
        <v>2426</v>
      </c>
      <c r="L130" s="62"/>
      <c r="M130" s="64"/>
      <c r="N130" s="65"/>
      <c r="O130" s="65"/>
      <c r="P130" s="65"/>
      <c r="Q130" s="65"/>
      <c r="R130" s="65"/>
      <c r="S130" s="65"/>
      <c r="T130" s="67"/>
      <c r="U130" s="67"/>
      <c r="V130" s="68"/>
      <c r="W130" s="69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</row>
    <row r="131" spans="1:39">
      <c r="A131" s="50"/>
      <c r="B131" s="52">
        <v>4320</v>
      </c>
      <c r="C131" s="53" t="s">
        <v>256</v>
      </c>
      <c r="D131" s="55" t="s">
        <v>791</v>
      </c>
      <c r="E131" s="53">
        <v>53</v>
      </c>
      <c r="F131" s="56" t="s">
        <v>792</v>
      </c>
      <c r="G131" s="57" t="s">
        <v>78</v>
      </c>
      <c r="H131" s="58">
        <v>63400</v>
      </c>
      <c r="I131" s="59"/>
      <c r="J131" s="60" t="s">
        <v>2409</v>
      </c>
      <c r="K131" s="80" t="s">
        <v>2409</v>
      </c>
      <c r="L131" s="62"/>
      <c r="M131" s="64"/>
      <c r="N131" s="65"/>
      <c r="O131" s="65"/>
      <c r="P131" s="65"/>
      <c r="Q131" s="65"/>
      <c r="R131" s="65"/>
      <c r="S131" s="65"/>
      <c r="T131" s="67">
        <v>15</v>
      </c>
      <c r="U131" s="67">
        <v>2566</v>
      </c>
      <c r="V131" s="68" t="s">
        <v>2178</v>
      </c>
      <c r="W131" s="69" t="e">
        <v>#REF!</v>
      </c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</row>
    <row r="132" spans="1:39">
      <c r="A132" s="50"/>
      <c r="B132" s="52">
        <v>4320</v>
      </c>
      <c r="C132" s="53" t="s">
        <v>256</v>
      </c>
      <c r="D132" s="55" t="s">
        <v>799</v>
      </c>
      <c r="E132" s="53">
        <v>55</v>
      </c>
      <c r="F132" s="56" t="s">
        <v>800</v>
      </c>
      <c r="G132" s="57" t="s">
        <v>78</v>
      </c>
      <c r="H132" s="58">
        <v>950000</v>
      </c>
      <c r="I132" s="59"/>
      <c r="J132" s="101"/>
      <c r="K132" s="80" t="s">
        <v>2409</v>
      </c>
      <c r="L132" s="62"/>
      <c r="M132" s="64"/>
      <c r="N132" s="65"/>
      <c r="O132" s="65"/>
      <c r="P132" s="65"/>
      <c r="Q132" s="65"/>
      <c r="R132" s="65"/>
      <c r="S132" s="65"/>
      <c r="T132" s="67">
        <v>15</v>
      </c>
      <c r="U132" s="67">
        <v>2568</v>
      </c>
      <c r="V132" s="68" t="s">
        <v>2178</v>
      </c>
      <c r="W132" s="69" t="e">
        <v>#REF!</v>
      </c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</row>
    <row r="133" spans="1:39" ht="18.75" customHeight="1">
      <c r="A133" s="50" t="s">
        <v>808</v>
      </c>
      <c r="B133" s="52">
        <v>4320</v>
      </c>
      <c r="C133" s="53" t="s">
        <v>256</v>
      </c>
      <c r="D133" s="55" t="s">
        <v>810</v>
      </c>
      <c r="E133" s="53">
        <v>62</v>
      </c>
      <c r="F133" s="106" t="s">
        <v>814</v>
      </c>
      <c r="G133" s="57" t="s">
        <v>78</v>
      </c>
      <c r="H133" s="58">
        <v>16500</v>
      </c>
      <c r="I133" s="59"/>
      <c r="J133" s="101"/>
      <c r="K133" s="61"/>
      <c r="L133" s="107"/>
      <c r="M133" s="106"/>
      <c r="N133" s="65"/>
      <c r="O133" s="65"/>
      <c r="P133" s="65"/>
      <c r="Q133" s="65"/>
      <c r="R133" s="65"/>
      <c r="S133" s="65"/>
      <c r="T133" s="108"/>
      <c r="U133" s="67"/>
      <c r="V133" s="68"/>
      <c r="W133" s="69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</row>
    <row r="134" spans="1:39" ht="18.75" customHeight="1">
      <c r="A134" s="50"/>
      <c r="B134" s="52">
        <v>4320</v>
      </c>
      <c r="C134" s="53" t="s">
        <v>256</v>
      </c>
      <c r="D134" s="55" t="s">
        <v>863</v>
      </c>
      <c r="E134" s="53">
        <v>53</v>
      </c>
      <c r="F134" s="56" t="s">
        <v>864</v>
      </c>
      <c r="G134" s="57" t="s">
        <v>78</v>
      </c>
      <c r="H134" s="58">
        <v>95000</v>
      </c>
      <c r="I134" s="59"/>
      <c r="J134" s="60" t="s">
        <v>2409</v>
      </c>
      <c r="K134" s="80" t="s">
        <v>2409</v>
      </c>
      <c r="L134" s="107"/>
      <c r="M134" s="106"/>
      <c r="N134" s="65"/>
      <c r="O134" s="65"/>
      <c r="P134" s="65"/>
      <c r="Q134" s="65"/>
      <c r="R134" s="65"/>
      <c r="S134" s="65"/>
      <c r="T134" s="108"/>
      <c r="U134" s="67"/>
      <c r="V134" s="68"/>
      <c r="W134" s="69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</row>
    <row r="135" spans="1:39">
      <c r="A135" s="50"/>
      <c r="B135" s="52">
        <v>4320</v>
      </c>
      <c r="C135" s="53" t="s">
        <v>256</v>
      </c>
      <c r="D135" s="55" t="s">
        <v>865</v>
      </c>
      <c r="E135" s="53">
        <v>53</v>
      </c>
      <c r="F135" s="56" t="s">
        <v>866</v>
      </c>
      <c r="G135" s="57" t="s">
        <v>78</v>
      </c>
      <c r="H135" s="58">
        <v>140000</v>
      </c>
      <c r="I135" s="59"/>
      <c r="J135" s="60" t="s">
        <v>2409</v>
      </c>
      <c r="K135" s="80" t="s">
        <v>2409</v>
      </c>
      <c r="L135" s="62"/>
      <c r="M135" s="64"/>
      <c r="N135" s="65"/>
      <c r="O135" s="65"/>
      <c r="P135" s="65"/>
      <c r="Q135" s="65"/>
      <c r="R135" s="65"/>
      <c r="S135" s="65"/>
      <c r="T135" s="67">
        <v>15</v>
      </c>
      <c r="U135" s="67">
        <v>2566</v>
      </c>
      <c r="V135" s="68" t="s">
        <v>2178</v>
      </c>
      <c r="W135" s="69" t="e">
        <v>#REF!</v>
      </c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</row>
    <row r="136" spans="1:39">
      <c r="A136" s="50"/>
      <c r="B136" s="52">
        <v>4320</v>
      </c>
      <c r="C136" s="53" t="s">
        <v>256</v>
      </c>
      <c r="D136" s="55" t="s">
        <v>869</v>
      </c>
      <c r="E136" s="53">
        <v>53</v>
      </c>
      <c r="F136" s="56" t="s">
        <v>870</v>
      </c>
      <c r="G136" s="57" t="s">
        <v>78</v>
      </c>
      <c r="H136" s="58">
        <v>120000</v>
      </c>
      <c r="I136" s="59"/>
      <c r="J136" s="60" t="s">
        <v>2409</v>
      </c>
      <c r="K136" s="80" t="s">
        <v>2409</v>
      </c>
      <c r="L136" s="62"/>
      <c r="M136" s="64"/>
      <c r="N136" s="65"/>
      <c r="O136" s="65"/>
      <c r="P136" s="65"/>
      <c r="Q136" s="65"/>
      <c r="R136" s="65"/>
      <c r="S136" s="65"/>
      <c r="T136" s="67">
        <v>15</v>
      </c>
      <c r="U136" s="67">
        <v>2566</v>
      </c>
      <c r="V136" s="68" t="s">
        <v>2178</v>
      </c>
      <c r="W136" s="69" t="e">
        <v>#REF!</v>
      </c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</row>
    <row r="137" spans="1:39">
      <c r="A137" s="50"/>
      <c r="B137" s="52">
        <v>4320</v>
      </c>
      <c r="C137" s="53" t="s">
        <v>256</v>
      </c>
      <c r="D137" s="55" t="s">
        <v>861</v>
      </c>
      <c r="E137" s="53">
        <v>53</v>
      </c>
      <c r="F137" s="56" t="s">
        <v>862</v>
      </c>
      <c r="G137" s="57" t="s">
        <v>78</v>
      </c>
      <c r="H137" s="58">
        <v>150000</v>
      </c>
      <c r="I137" s="59"/>
      <c r="J137" s="60" t="s">
        <v>2409</v>
      </c>
      <c r="K137" s="80" t="s">
        <v>2409</v>
      </c>
      <c r="L137" s="62"/>
      <c r="M137" s="64"/>
      <c r="N137" s="65"/>
      <c r="O137" s="65"/>
      <c r="P137" s="65"/>
      <c r="Q137" s="65"/>
      <c r="R137" s="65"/>
      <c r="S137" s="65"/>
      <c r="T137" s="67">
        <v>15</v>
      </c>
      <c r="U137" s="67">
        <v>2566</v>
      </c>
      <c r="V137" s="68" t="s">
        <v>2178</v>
      </c>
      <c r="W137" s="69" t="e">
        <v>#REF!</v>
      </c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</row>
    <row r="138" spans="1:39">
      <c r="A138" s="50"/>
      <c r="B138" s="52">
        <v>4320</v>
      </c>
      <c r="C138" s="53" t="s">
        <v>256</v>
      </c>
      <c r="D138" s="55" t="s">
        <v>873</v>
      </c>
      <c r="E138" s="53">
        <v>57</v>
      </c>
      <c r="F138" s="56" t="s">
        <v>874</v>
      </c>
      <c r="G138" s="57" t="s">
        <v>78</v>
      </c>
      <c r="H138" s="58">
        <v>30000</v>
      </c>
      <c r="I138" s="59"/>
      <c r="J138" s="60" t="s">
        <v>2409</v>
      </c>
      <c r="K138" s="80" t="s">
        <v>2409</v>
      </c>
      <c r="L138" s="62"/>
      <c r="M138" s="64"/>
      <c r="N138" s="65"/>
      <c r="O138" s="65"/>
      <c r="P138" s="65"/>
      <c r="Q138" s="65"/>
      <c r="R138" s="65"/>
      <c r="S138" s="65"/>
      <c r="T138" s="67">
        <v>15</v>
      </c>
      <c r="U138" s="67">
        <v>2566</v>
      </c>
      <c r="V138" s="68" t="s">
        <v>2178</v>
      </c>
      <c r="W138" s="69" t="e">
        <v>#REF!</v>
      </c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</row>
    <row r="139" spans="1:39">
      <c r="A139" s="50"/>
      <c r="B139" s="52">
        <v>4320</v>
      </c>
      <c r="C139" s="53" t="s">
        <v>256</v>
      </c>
      <c r="D139" s="55" t="s">
        <v>871</v>
      </c>
      <c r="E139" s="53">
        <v>54</v>
      </c>
      <c r="F139" s="56" t="s">
        <v>872</v>
      </c>
      <c r="G139" s="57" t="s">
        <v>78</v>
      </c>
      <c r="H139" s="58">
        <v>15000</v>
      </c>
      <c r="I139" s="59"/>
      <c r="J139" s="60" t="s">
        <v>2409</v>
      </c>
      <c r="K139" s="80" t="s">
        <v>2409</v>
      </c>
      <c r="L139" s="62"/>
      <c r="M139" s="64"/>
      <c r="N139" s="65"/>
      <c r="O139" s="65"/>
      <c r="P139" s="65"/>
      <c r="Q139" s="65"/>
      <c r="R139" s="65"/>
      <c r="S139" s="65"/>
      <c r="T139" s="67">
        <v>15</v>
      </c>
      <c r="U139" s="67">
        <v>2567</v>
      </c>
      <c r="V139" s="68" t="s">
        <v>2178</v>
      </c>
      <c r="W139" s="69" t="e">
        <v>#REF!</v>
      </c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</row>
    <row r="140" spans="1:39">
      <c r="A140" s="50"/>
      <c r="B140" s="52">
        <v>4320</v>
      </c>
      <c r="C140" s="53" t="s">
        <v>256</v>
      </c>
      <c r="D140" s="55" t="s">
        <v>875</v>
      </c>
      <c r="E140" s="53">
        <v>57</v>
      </c>
      <c r="F140" s="56" t="s">
        <v>876</v>
      </c>
      <c r="G140" s="57" t="s">
        <v>78</v>
      </c>
      <c r="H140" s="58">
        <v>1400000</v>
      </c>
      <c r="I140" s="59"/>
      <c r="J140" s="60" t="s">
        <v>2409</v>
      </c>
      <c r="K140" s="80" t="s">
        <v>2409</v>
      </c>
      <c r="L140" s="62"/>
      <c r="M140" s="64"/>
      <c r="N140" s="65"/>
      <c r="O140" s="65"/>
      <c r="P140" s="65"/>
      <c r="Q140" s="65"/>
      <c r="R140" s="65"/>
      <c r="S140" s="65"/>
      <c r="T140" s="67">
        <v>15</v>
      </c>
      <c r="U140" s="67">
        <v>2570</v>
      </c>
      <c r="V140" s="68" t="s">
        <v>2178</v>
      </c>
      <c r="W140" s="69" t="e">
        <v>#REF!</v>
      </c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</row>
    <row r="141" spans="1:39">
      <c r="A141" s="50"/>
      <c r="B141" s="52">
        <v>4320</v>
      </c>
      <c r="C141" s="53" t="s">
        <v>256</v>
      </c>
      <c r="D141" s="55" t="s">
        <v>877</v>
      </c>
      <c r="E141" s="53">
        <v>57</v>
      </c>
      <c r="F141" s="56" t="s">
        <v>878</v>
      </c>
      <c r="G141" s="57" t="s">
        <v>78</v>
      </c>
      <c r="H141" s="58">
        <v>1900000</v>
      </c>
      <c r="I141" s="59"/>
      <c r="J141" s="60" t="s">
        <v>2409</v>
      </c>
      <c r="K141" s="80" t="s">
        <v>2409</v>
      </c>
      <c r="L141" s="62"/>
      <c r="M141" s="64"/>
      <c r="N141" s="65"/>
      <c r="O141" s="65"/>
      <c r="P141" s="65"/>
      <c r="Q141" s="65"/>
      <c r="R141" s="65"/>
      <c r="S141" s="65"/>
      <c r="T141" s="67">
        <v>15</v>
      </c>
      <c r="U141" s="67">
        <v>2570</v>
      </c>
      <c r="V141" s="68" t="s">
        <v>2178</v>
      </c>
      <c r="W141" s="69" t="e">
        <v>#REF!</v>
      </c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</row>
    <row r="142" spans="1:39">
      <c r="A142" s="50"/>
      <c r="B142" s="52">
        <v>4320</v>
      </c>
      <c r="C142" s="53" t="s">
        <v>256</v>
      </c>
      <c r="D142" s="55" t="s">
        <v>880</v>
      </c>
      <c r="E142" s="53">
        <v>54</v>
      </c>
      <c r="F142" s="56" t="s">
        <v>881</v>
      </c>
      <c r="G142" s="57" t="s">
        <v>78</v>
      </c>
      <c r="H142" s="58">
        <v>91500</v>
      </c>
      <c r="I142" s="59"/>
      <c r="J142" s="60" t="s">
        <v>2409</v>
      </c>
      <c r="K142" s="80" t="s">
        <v>2409</v>
      </c>
      <c r="L142" s="62"/>
      <c r="M142" s="64"/>
      <c r="N142" s="65"/>
      <c r="O142" s="65"/>
      <c r="P142" s="65"/>
      <c r="Q142" s="65"/>
      <c r="R142" s="65"/>
      <c r="S142" s="65"/>
      <c r="T142" s="67">
        <v>15</v>
      </c>
      <c r="U142" s="67">
        <v>2567</v>
      </c>
      <c r="V142" s="68" t="s">
        <v>2178</v>
      </c>
      <c r="W142" s="69" t="e">
        <v>#REF!</v>
      </c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</row>
    <row r="143" spans="1:39" ht="18.75" customHeight="1">
      <c r="A143" s="50"/>
      <c r="B143" s="52">
        <v>4320</v>
      </c>
      <c r="C143" s="53" t="s">
        <v>256</v>
      </c>
      <c r="D143" s="55" t="s">
        <v>882</v>
      </c>
      <c r="E143" s="53">
        <v>57</v>
      </c>
      <c r="F143" s="56" t="s">
        <v>883</v>
      </c>
      <c r="G143" s="57" t="s">
        <v>78</v>
      </c>
      <c r="H143" s="58">
        <v>400000</v>
      </c>
      <c r="I143" s="59"/>
      <c r="J143" s="60" t="s">
        <v>2409</v>
      </c>
      <c r="K143" s="80" t="s">
        <v>2409</v>
      </c>
      <c r="L143" s="62"/>
      <c r="M143" s="64"/>
      <c r="N143" s="65"/>
      <c r="O143" s="65"/>
      <c r="P143" s="65"/>
      <c r="Q143" s="65"/>
      <c r="R143" s="65"/>
      <c r="S143" s="65"/>
      <c r="T143" s="67">
        <v>15</v>
      </c>
      <c r="U143" s="67">
        <v>2570</v>
      </c>
      <c r="V143" s="68" t="s">
        <v>2178</v>
      </c>
      <c r="W143" s="69" t="e">
        <v>#REF!</v>
      </c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</row>
    <row r="144" spans="1:39">
      <c r="A144" s="50"/>
      <c r="B144" s="52">
        <v>4320</v>
      </c>
      <c r="C144" s="53" t="s">
        <v>256</v>
      </c>
      <c r="D144" s="55" t="s">
        <v>884</v>
      </c>
      <c r="E144" s="53">
        <v>59</v>
      </c>
      <c r="F144" s="56" t="s">
        <v>4114</v>
      </c>
      <c r="G144" s="57" t="s">
        <v>78</v>
      </c>
      <c r="H144" s="58">
        <v>40000</v>
      </c>
      <c r="I144" s="59"/>
      <c r="J144" s="60" t="s">
        <v>2409</v>
      </c>
      <c r="K144" s="61"/>
      <c r="L144" s="62"/>
      <c r="M144" s="64"/>
      <c r="N144" s="65"/>
      <c r="O144" s="65"/>
      <c r="P144" s="65"/>
      <c r="Q144" s="65"/>
      <c r="R144" s="65"/>
      <c r="S144" s="65"/>
      <c r="T144" s="67"/>
      <c r="U144" s="67">
        <v>2557</v>
      </c>
      <c r="V144" s="68" t="s">
        <v>2178</v>
      </c>
      <c r="W144" s="69" t="e">
        <v>#REF!</v>
      </c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</row>
    <row r="145" spans="1:39">
      <c r="A145" s="50"/>
      <c r="B145" s="52">
        <v>4320</v>
      </c>
      <c r="C145" s="53" t="s">
        <v>256</v>
      </c>
      <c r="D145" s="55" t="s">
        <v>890</v>
      </c>
      <c r="E145" s="53">
        <v>57</v>
      </c>
      <c r="F145" s="56" t="s">
        <v>891</v>
      </c>
      <c r="G145" s="57" t="s">
        <v>78</v>
      </c>
      <c r="H145" s="58">
        <v>130000</v>
      </c>
      <c r="I145" s="59"/>
      <c r="J145" s="60" t="s">
        <v>2409</v>
      </c>
      <c r="K145" s="80" t="s">
        <v>2409</v>
      </c>
      <c r="L145" s="62"/>
      <c r="M145" s="64"/>
      <c r="N145" s="65"/>
      <c r="O145" s="65"/>
      <c r="P145" s="65"/>
      <c r="Q145" s="65"/>
      <c r="R145" s="65"/>
      <c r="S145" s="65"/>
      <c r="T145" s="67"/>
      <c r="U145" s="67"/>
      <c r="V145" s="68"/>
      <c r="W145" s="69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</row>
    <row r="146" spans="1:39">
      <c r="A146" s="50"/>
      <c r="B146" s="52">
        <v>4320</v>
      </c>
      <c r="C146" s="53" t="s">
        <v>256</v>
      </c>
      <c r="D146" s="55" t="s">
        <v>887</v>
      </c>
      <c r="E146" s="53">
        <v>57</v>
      </c>
      <c r="F146" s="56" t="s">
        <v>888</v>
      </c>
      <c r="G146" s="57" t="s">
        <v>78</v>
      </c>
      <c r="H146" s="58">
        <v>450000</v>
      </c>
      <c r="I146" s="59"/>
      <c r="J146" s="60" t="s">
        <v>2409</v>
      </c>
      <c r="K146" s="80" t="s">
        <v>2409</v>
      </c>
      <c r="L146" s="62"/>
      <c r="M146" s="64"/>
      <c r="N146" s="65"/>
      <c r="O146" s="65"/>
      <c r="P146" s="65"/>
      <c r="Q146" s="65"/>
      <c r="R146" s="65"/>
      <c r="S146" s="65"/>
      <c r="T146" s="67">
        <v>15</v>
      </c>
      <c r="U146" s="67">
        <v>2570</v>
      </c>
      <c r="V146" s="68" t="s">
        <v>2178</v>
      </c>
      <c r="W146" s="69" t="e">
        <v>#REF!</v>
      </c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</row>
    <row r="147" spans="1:39">
      <c r="A147" s="50"/>
      <c r="B147" s="52">
        <v>4320</v>
      </c>
      <c r="C147" s="53" t="s">
        <v>256</v>
      </c>
      <c r="D147" s="55" t="s">
        <v>900</v>
      </c>
      <c r="E147" s="53">
        <v>57</v>
      </c>
      <c r="F147" s="56" t="s">
        <v>901</v>
      </c>
      <c r="G147" s="57" t="s">
        <v>78</v>
      </c>
      <c r="H147" s="366">
        <v>15000</v>
      </c>
      <c r="I147" s="59"/>
      <c r="J147" s="60" t="s">
        <v>2409</v>
      </c>
      <c r="K147" s="80" t="s">
        <v>2409</v>
      </c>
      <c r="L147" s="62"/>
      <c r="M147" s="64"/>
      <c r="N147" s="65"/>
      <c r="O147" s="65"/>
      <c r="P147" s="65"/>
      <c r="Q147" s="65"/>
      <c r="R147" s="65"/>
      <c r="S147" s="65"/>
      <c r="T147" s="67">
        <v>15</v>
      </c>
      <c r="U147" s="67">
        <v>2570</v>
      </c>
      <c r="V147" s="68" t="s">
        <v>2178</v>
      </c>
      <c r="W147" s="69" t="e">
        <v>#REF!</v>
      </c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</row>
    <row r="148" spans="1:39">
      <c r="A148" s="50"/>
      <c r="B148" s="52">
        <v>4320</v>
      </c>
      <c r="C148" s="53" t="s">
        <v>256</v>
      </c>
      <c r="D148" s="55" t="s">
        <v>915</v>
      </c>
      <c r="E148" s="53">
        <v>54</v>
      </c>
      <c r="F148" s="56" t="s">
        <v>916</v>
      </c>
      <c r="G148" s="57" t="s">
        <v>78</v>
      </c>
      <c r="H148" s="366">
        <v>45000</v>
      </c>
      <c r="I148" s="59"/>
      <c r="J148" s="60" t="s">
        <v>2409</v>
      </c>
      <c r="K148" s="80" t="s">
        <v>2409</v>
      </c>
      <c r="L148" s="62"/>
      <c r="M148" s="64"/>
      <c r="N148" s="65"/>
      <c r="O148" s="65"/>
      <c r="P148" s="65"/>
      <c r="Q148" s="65"/>
      <c r="R148" s="65"/>
      <c r="S148" s="65"/>
      <c r="T148" s="67"/>
      <c r="U148" s="67"/>
      <c r="V148" s="68"/>
      <c r="W148" s="69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</row>
    <row r="149" spans="1:39">
      <c r="A149" s="50"/>
      <c r="B149" s="52">
        <v>4320</v>
      </c>
      <c r="C149" s="53" t="s">
        <v>256</v>
      </c>
      <c r="D149" s="55" t="s">
        <v>923</v>
      </c>
      <c r="E149" s="53">
        <v>56</v>
      </c>
      <c r="F149" s="56" t="s">
        <v>924</v>
      </c>
      <c r="G149" s="57" t="s">
        <v>78</v>
      </c>
      <c r="H149" s="58">
        <v>80000</v>
      </c>
      <c r="I149" s="59"/>
      <c r="J149" s="60" t="s">
        <v>2409</v>
      </c>
      <c r="K149" s="80" t="s">
        <v>2409</v>
      </c>
      <c r="L149" s="62"/>
      <c r="M149" s="64"/>
      <c r="N149" s="65"/>
      <c r="O149" s="65"/>
      <c r="P149" s="65"/>
      <c r="Q149" s="65"/>
      <c r="R149" s="65"/>
      <c r="S149" s="65"/>
      <c r="T149" s="67"/>
      <c r="U149" s="67"/>
      <c r="V149" s="68"/>
      <c r="W149" s="69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</row>
    <row r="150" spans="1:39">
      <c r="A150" s="50"/>
      <c r="B150" s="52">
        <v>4320</v>
      </c>
      <c r="C150" s="53" t="s">
        <v>256</v>
      </c>
      <c r="D150" s="55" t="s">
        <v>892</v>
      </c>
      <c r="E150" s="53">
        <v>56</v>
      </c>
      <c r="F150" s="56" t="s">
        <v>893</v>
      </c>
      <c r="G150" s="57" t="s">
        <v>78</v>
      </c>
      <c r="H150" s="366">
        <v>90000</v>
      </c>
      <c r="I150" s="59"/>
      <c r="J150" s="60" t="s">
        <v>2409</v>
      </c>
      <c r="K150" s="80" t="s">
        <v>2409</v>
      </c>
      <c r="L150" s="62"/>
      <c r="M150" s="64"/>
      <c r="N150" s="65"/>
      <c r="O150" s="65"/>
      <c r="P150" s="65"/>
      <c r="Q150" s="65"/>
      <c r="R150" s="65"/>
      <c r="S150" s="65"/>
      <c r="T150" s="67">
        <v>15</v>
      </c>
      <c r="U150" s="67">
        <v>2569</v>
      </c>
      <c r="V150" s="68" t="s">
        <v>2178</v>
      </c>
      <c r="W150" s="69" t="e">
        <v>#REF!</v>
      </c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</row>
    <row r="151" spans="1:39">
      <c r="A151" s="50"/>
      <c r="B151" s="52">
        <v>4320</v>
      </c>
      <c r="C151" s="53" t="s">
        <v>256</v>
      </c>
      <c r="D151" s="55" t="s">
        <v>896</v>
      </c>
      <c r="E151" s="53">
        <v>53</v>
      </c>
      <c r="F151" s="56" t="s">
        <v>897</v>
      </c>
      <c r="G151" s="57" t="s">
        <v>78</v>
      </c>
      <c r="H151" s="366">
        <v>110000</v>
      </c>
      <c r="I151" s="59"/>
      <c r="J151" s="60" t="s">
        <v>2409</v>
      </c>
      <c r="K151" s="80" t="s">
        <v>2409</v>
      </c>
      <c r="L151" s="62"/>
      <c r="M151" s="64"/>
      <c r="N151" s="65"/>
      <c r="O151" s="65"/>
      <c r="P151" s="65"/>
      <c r="Q151" s="65"/>
      <c r="R151" s="65"/>
      <c r="S151" s="65"/>
      <c r="T151" s="67">
        <v>15</v>
      </c>
      <c r="U151" s="67">
        <v>2570</v>
      </c>
      <c r="V151" s="68" t="s">
        <v>2178</v>
      </c>
      <c r="W151" s="69" t="e">
        <v>#REF!</v>
      </c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</row>
    <row r="152" spans="1:39">
      <c r="A152" s="50"/>
      <c r="B152" s="52">
        <v>4320</v>
      </c>
      <c r="C152" s="53" t="s">
        <v>256</v>
      </c>
      <c r="D152" s="55" t="s">
        <v>898</v>
      </c>
      <c r="E152" s="53">
        <v>56</v>
      </c>
      <c r="F152" s="56" t="s">
        <v>899</v>
      </c>
      <c r="G152" s="57" t="s">
        <v>78</v>
      </c>
      <c r="H152" s="366">
        <v>175000</v>
      </c>
      <c r="I152" s="59"/>
      <c r="J152" s="60" t="s">
        <v>2409</v>
      </c>
      <c r="K152" s="80" t="s">
        <v>2409</v>
      </c>
      <c r="L152" s="62"/>
      <c r="M152" s="64"/>
      <c r="N152" s="65"/>
      <c r="O152" s="65"/>
      <c r="P152" s="65"/>
      <c r="Q152" s="65"/>
      <c r="R152" s="65"/>
      <c r="S152" s="65"/>
      <c r="T152" s="67">
        <v>15</v>
      </c>
      <c r="U152" s="67">
        <v>2566</v>
      </c>
      <c r="V152" s="68" t="s">
        <v>2178</v>
      </c>
      <c r="W152" s="69" t="e">
        <v>#REF!</v>
      </c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</row>
    <row r="153" spans="1:39">
      <c r="A153" s="50"/>
      <c r="B153" s="52">
        <v>4320</v>
      </c>
      <c r="C153" s="53" t="s">
        <v>256</v>
      </c>
      <c r="D153" s="55" t="s">
        <v>902</v>
      </c>
      <c r="E153" s="53">
        <v>57</v>
      </c>
      <c r="F153" s="56" t="s">
        <v>903</v>
      </c>
      <c r="G153" s="57" t="s">
        <v>78</v>
      </c>
      <c r="H153" s="366">
        <v>265000</v>
      </c>
      <c r="I153" s="59"/>
      <c r="J153" s="60" t="s">
        <v>2409</v>
      </c>
      <c r="K153" s="80" t="s">
        <v>2409</v>
      </c>
      <c r="L153" s="62"/>
      <c r="M153" s="64"/>
      <c r="N153" s="65"/>
      <c r="O153" s="65"/>
      <c r="P153" s="65"/>
      <c r="Q153" s="65"/>
      <c r="R153" s="65"/>
      <c r="S153" s="65"/>
      <c r="T153" s="67">
        <v>15</v>
      </c>
      <c r="U153" s="67">
        <v>2569</v>
      </c>
      <c r="V153" s="68" t="s">
        <v>2178</v>
      </c>
      <c r="W153" s="69" t="e">
        <v>#REF!</v>
      </c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</row>
    <row r="154" spans="1:39">
      <c r="A154" s="50"/>
      <c r="B154" s="52">
        <v>4320</v>
      </c>
      <c r="C154" s="53" t="s">
        <v>256</v>
      </c>
      <c r="D154" s="55" t="s">
        <v>904</v>
      </c>
      <c r="E154" s="53">
        <v>57</v>
      </c>
      <c r="F154" s="56" t="s">
        <v>905</v>
      </c>
      <c r="G154" s="57" t="s">
        <v>78</v>
      </c>
      <c r="H154" s="58">
        <v>11000</v>
      </c>
      <c r="I154" s="59"/>
      <c r="J154" s="60" t="s">
        <v>2409</v>
      </c>
      <c r="K154" s="80" t="s">
        <v>2409</v>
      </c>
      <c r="L154" s="62"/>
      <c r="M154" s="64"/>
      <c r="N154" s="65"/>
      <c r="O154" s="65"/>
      <c r="P154" s="65"/>
      <c r="Q154" s="65"/>
      <c r="R154" s="65"/>
      <c r="S154" s="65"/>
      <c r="T154" s="67">
        <v>15</v>
      </c>
      <c r="U154" s="67">
        <v>2570</v>
      </c>
      <c r="V154" s="68" t="s">
        <v>2178</v>
      </c>
      <c r="W154" s="69" t="e">
        <v>#REF!</v>
      </c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</row>
    <row r="155" spans="1:39">
      <c r="A155" s="50"/>
      <c r="B155" s="52">
        <v>4320</v>
      </c>
      <c r="C155" s="53" t="s">
        <v>256</v>
      </c>
      <c r="D155" s="55" t="s">
        <v>894</v>
      </c>
      <c r="E155" s="53">
        <v>57</v>
      </c>
      <c r="F155" s="56" t="s">
        <v>895</v>
      </c>
      <c r="G155" s="57" t="s">
        <v>78</v>
      </c>
      <c r="H155" s="58">
        <v>18200</v>
      </c>
      <c r="I155" s="59"/>
      <c r="J155" s="60" t="s">
        <v>2409</v>
      </c>
      <c r="K155" s="80" t="s">
        <v>2409</v>
      </c>
      <c r="L155" s="62"/>
      <c r="M155" s="64"/>
      <c r="N155" s="65"/>
      <c r="O155" s="65"/>
      <c r="P155" s="65"/>
      <c r="Q155" s="65"/>
      <c r="R155" s="65"/>
      <c r="S155" s="65"/>
      <c r="T155" s="67">
        <v>15</v>
      </c>
      <c r="U155" s="67">
        <v>2570</v>
      </c>
      <c r="V155" s="68" t="s">
        <v>2178</v>
      </c>
      <c r="W155" s="69" t="e">
        <v>#REF!</v>
      </c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</row>
    <row r="156" spans="1:39">
      <c r="A156" s="50"/>
      <c r="B156" s="52">
        <v>4320</v>
      </c>
      <c r="C156" s="53" t="s">
        <v>256</v>
      </c>
      <c r="D156" s="55" t="s">
        <v>907</v>
      </c>
      <c r="E156" s="53">
        <v>54</v>
      </c>
      <c r="F156" s="56" t="s">
        <v>908</v>
      </c>
      <c r="G156" s="57" t="s">
        <v>78</v>
      </c>
      <c r="H156" s="58">
        <v>60000</v>
      </c>
      <c r="I156" s="59"/>
      <c r="J156" s="60" t="s">
        <v>2409</v>
      </c>
      <c r="K156" s="80" t="s">
        <v>2409</v>
      </c>
      <c r="L156" s="62"/>
      <c r="M156" s="64"/>
      <c r="N156" s="65"/>
      <c r="O156" s="65"/>
      <c r="P156" s="65"/>
      <c r="Q156" s="65"/>
      <c r="R156" s="65"/>
      <c r="S156" s="65"/>
      <c r="T156" s="67">
        <v>15</v>
      </c>
      <c r="U156" s="67">
        <v>2567</v>
      </c>
      <c r="V156" s="68" t="s">
        <v>2178</v>
      </c>
      <c r="W156" s="69" t="e">
        <v>#REF!</v>
      </c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</row>
    <row r="157" spans="1:39">
      <c r="A157" s="50"/>
      <c r="B157" s="52">
        <v>4320</v>
      </c>
      <c r="C157" s="53" t="s">
        <v>256</v>
      </c>
      <c r="D157" s="55" t="s">
        <v>909</v>
      </c>
      <c r="E157" s="53">
        <v>54</v>
      </c>
      <c r="F157" s="56" t="s">
        <v>910</v>
      </c>
      <c r="G157" s="57" t="s">
        <v>78</v>
      </c>
      <c r="H157" s="58">
        <v>8500</v>
      </c>
      <c r="I157" s="59"/>
      <c r="J157" s="60" t="s">
        <v>2409</v>
      </c>
      <c r="K157" s="80" t="s">
        <v>2409</v>
      </c>
      <c r="L157" s="62"/>
      <c r="M157" s="64"/>
      <c r="N157" s="65"/>
      <c r="O157" s="65"/>
      <c r="P157" s="65"/>
      <c r="Q157" s="65"/>
      <c r="R157" s="65"/>
      <c r="S157" s="65"/>
      <c r="T157" s="67">
        <v>15</v>
      </c>
      <c r="U157" s="67">
        <v>2567</v>
      </c>
      <c r="V157" s="68" t="s">
        <v>2178</v>
      </c>
      <c r="W157" s="69" t="e">
        <v>#REF!</v>
      </c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</row>
    <row r="158" spans="1:39">
      <c r="A158" s="50"/>
      <c r="B158" s="52">
        <v>4320</v>
      </c>
      <c r="C158" s="53" t="s">
        <v>256</v>
      </c>
      <c r="D158" s="55" t="s">
        <v>911</v>
      </c>
      <c r="E158" s="53">
        <v>54</v>
      </c>
      <c r="F158" s="56" t="s">
        <v>912</v>
      </c>
      <c r="G158" s="57" t="s">
        <v>78</v>
      </c>
      <c r="H158" s="58">
        <v>14000</v>
      </c>
      <c r="I158" s="59"/>
      <c r="J158" s="60" t="s">
        <v>2409</v>
      </c>
      <c r="K158" s="80" t="s">
        <v>2409</v>
      </c>
      <c r="L158" s="62"/>
      <c r="M158" s="64"/>
      <c r="N158" s="65"/>
      <c r="O158" s="65"/>
      <c r="P158" s="65"/>
      <c r="Q158" s="65"/>
      <c r="R158" s="65"/>
      <c r="S158" s="65"/>
      <c r="T158" s="67">
        <v>15</v>
      </c>
      <c r="U158" s="67">
        <v>2567</v>
      </c>
      <c r="V158" s="68" t="s">
        <v>2178</v>
      </c>
      <c r="W158" s="69" t="e">
        <v>#REF!</v>
      </c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</row>
    <row r="159" spans="1:39">
      <c r="A159" s="50"/>
      <c r="B159" s="52">
        <v>4320</v>
      </c>
      <c r="C159" s="53" t="s">
        <v>256</v>
      </c>
      <c r="D159" s="55" t="s">
        <v>913</v>
      </c>
      <c r="E159" s="53">
        <v>54</v>
      </c>
      <c r="F159" s="56" t="s">
        <v>914</v>
      </c>
      <c r="G159" s="57" t="s">
        <v>78</v>
      </c>
      <c r="H159" s="58">
        <v>21000</v>
      </c>
      <c r="I159" s="59"/>
      <c r="J159" s="60" t="s">
        <v>2409</v>
      </c>
      <c r="K159" s="80" t="s">
        <v>2409</v>
      </c>
      <c r="L159" s="62"/>
      <c r="M159" s="64"/>
      <c r="N159" s="65"/>
      <c r="O159" s="65"/>
      <c r="P159" s="65"/>
      <c r="Q159" s="65"/>
      <c r="R159" s="65"/>
      <c r="S159" s="65"/>
      <c r="T159" s="67">
        <v>15</v>
      </c>
      <c r="U159" s="67">
        <v>2567</v>
      </c>
      <c r="V159" s="68" t="s">
        <v>2178</v>
      </c>
      <c r="W159" s="69" t="e">
        <v>#REF!</v>
      </c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</row>
    <row r="160" spans="1:39">
      <c r="A160" s="50"/>
      <c r="B160" s="52">
        <v>4320</v>
      </c>
      <c r="C160" s="53" t="s">
        <v>256</v>
      </c>
      <c r="D160" s="55" t="s">
        <v>921</v>
      </c>
      <c r="E160" s="53">
        <v>56</v>
      </c>
      <c r="F160" s="56" t="s">
        <v>922</v>
      </c>
      <c r="G160" s="57" t="s">
        <v>78</v>
      </c>
      <c r="H160" s="58">
        <v>75000</v>
      </c>
      <c r="I160" s="59"/>
      <c r="J160" s="60" t="s">
        <v>2409</v>
      </c>
      <c r="K160" s="80" t="s">
        <v>2409</v>
      </c>
      <c r="L160" s="62"/>
      <c r="M160" s="64"/>
      <c r="N160" s="65"/>
      <c r="O160" s="65"/>
      <c r="P160" s="65"/>
      <c r="Q160" s="65"/>
      <c r="R160" s="65"/>
      <c r="S160" s="65"/>
      <c r="T160" s="67">
        <v>15</v>
      </c>
      <c r="U160" s="67">
        <v>2567</v>
      </c>
      <c r="V160" s="68" t="s">
        <v>2178</v>
      </c>
      <c r="W160" s="69" t="e">
        <v>#REF!</v>
      </c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</row>
    <row r="161" spans="1:39">
      <c r="A161" s="50"/>
      <c r="B161" s="52">
        <v>4320</v>
      </c>
      <c r="C161" s="53" t="s">
        <v>256</v>
      </c>
      <c r="D161" s="55" t="s">
        <v>917</v>
      </c>
      <c r="E161" s="53">
        <v>56</v>
      </c>
      <c r="F161" s="56" t="s">
        <v>918</v>
      </c>
      <c r="G161" s="57" t="s">
        <v>78</v>
      </c>
      <c r="H161" s="58">
        <v>260000</v>
      </c>
      <c r="I161" s="59"/>
      <c r="J161" s="60" t="s">
        <v>2409</v>
      </c>
      <c r="K161" s="80" t="s">
        <v>2409</v>
      </c>
      <c r="L161" s="62"/>
      <c r="M161" s="64"/>
      <c r="N161" s="65"/>
      <c r="O161" s="65"/>
      <c r="P161" s="65"/>
      <c r="Q161" s="65"/>
      <c r="R161" s="65"/>
      <c r="S161" s="65"/>
      <c r="T161" s="67">
        <v>15</v>
      </c>
      <c r="U161" s="67">
        <v>2569</v>
      </c>
      <c r="V161" s="68" t="s">
        <v>2178</v>
      </c>
      <c r="W161" s="69" t="e">
        <v>#REF!</v>
      </c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</row>
    <row r="162" spans="1:39">
      <c r="A162" s="97"/>
      <c r="B162" s="97">
        <v>4400</v>
      </c>
      <c r="C162" s="89"/>
      <c r="D162" s="89" t="s">
        <v>4087</v>
      </c>
      <c r="E162" s="97"/>
      <c r="F162" s="37"/>
      <c r="G162" s="37"/>
      <c r="H162" s="97"/>
      <c r="I162" s="89"/>
      <c r="J162" s="500"/>
      <c r="K162" s="499"/>
      <c r="L162" s="499"/>
      <c r="M162" s="37"/>
      <c r="N162" s="37"/>
      <c r="O162" s="97"/>
      <c r="P162" s="89"/>
      <c r="Q162" s="500"/>
      <c r="R162" s="499"/>
      <c r="S162" s="499"/>
      <c r="T162" s="37"/>
      <c r="U162" s="37"/>
      <c r="V162" s="37" t="s">
        <v>2180</v>
      </c>
      <c r="W162" s="37">
        <v>9</v>
      </c>
      <c r="X162" s="500"/>
      <c r="Y162" s="499"/>
      <c r="Z162" s="49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</row>
    <row r="163" spans="1:39">
      <c r="A163" s="50"/>
      <c r="B163" s="52">
        <v>4440</v>
      </c>
      <c r="C163" s="53" t="s">
        <v>372</v>
      </c>
      <c r="D163" s="55" t="s">
        <v>933</v>
      </c>
      <c r="E163" s="53">
        <v>55</v>
      </c>
      <c r="F163" s="56" t="s">
        <v>934</v>
      </c>
      <c r="G163" s="57" t="s">
        <v>78</v>
      </c>
      <c r="H163" s="58">
        <v>255000</v>
      </c>
      <c r="I163" s="59"/>
      <c r="J163" s="60" t="s">
        <v>2411</v>
      </c>
      <c r="K163" s="80" t="s">
        <v>2411</v>
      </c>
      <c r="L163" s="62">
        <v>4440356813263</v>
      </c>
      <c r="M163" s="64"/>
      <c r="N163" s="65"/>
      <c r="O163" s="65"/>
      <c r="P163" s="65"/>
      <c r="Q163" s="65"/>
      <c r="R163" s="65"/>
      <c r="S163" s="65"/>
      <c r="T163" s="67">
        <v>15</v>
      </c>
      <c r="U163" s="67">
        <v>2568</v>
      </c>
      <c r="V163" s="68" t="s">
        <v>2180</v>
      </c>
      <c r="W163" s="69" t="e">
        <v>#REF!</v>
      </c>
      <c r="X163" s="70" t="s">
        <v>548</v>
      </c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</row>
    <row r="164" spans="1:39">
      <c r="A164" s="50"/>
      <c r="B164" s="52">
        <v>4440</v>
      </c>
      <c r="C164" s="53" t="s">
        <v>372</v>
      </c>
      <c r="D164" s="55" t="s">
        <v>927</v>
      </c>
      <c r="E164" s="53">
        <v>55</v>
      </c>
      <c r="F164" s="56" t="s">
        <v>928</v>
      </c>
      <c r="G164" s="57" t="s">
        <v>78</v>
      </c>
      <c r="H164" s="58">
        <v>455000</v>
      </c>
      <c r="I164" s="59"/>
      <c r="J164" s="60" t="s">
        <v>2411</v>
      </c>
      <c r="K164" s="80" t="s">
        <v>2411</v>
      </c>
      <c r="L164" s="62">
        <v>4440356813267</v>
      </c>
      <c r="M164" s="64"/>
      <c r="N164" s="65"/>
      <c r="O164" s="65"/>
      <c r="P164" s="65"/>
      <c r="Q164" s="65"/>
      <c r="R164" s="65"/>
      <c r="S164" s="65"/>
      <c r="T164" s="67">
        <v>15</v>
      </c>
      <c r="U164" s="67">
        <v>2568</v>
      </c>
      <c r="V164" s="68" t="s">
        <v>2180</v>
      </c>
      <c r="W164" s="69" t="e">
        <v>#REF!</v>
      </c>
      <c r="X164" s="70" t="s">
        <v>548</v>
      </c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</row>
    <row r="165" spans="1:39">
      <c r="A165" s="50"/>
      <c r="B165" s="52">
        <v>4440</v>
      </c>
      <c r="C165" s="53" t="s">
        <v>372</v>
      </c>
      <c r="D165" s="55" t="s">
        <v>929</v>
      </c>
      <c r="E165" s="53">
        <v>55</v>
      </c>
      <c r="F165" s="56" t="s">
        <v>930</v>
      </c>
      <c r="G165" s="57" t="s">
        <v>78</v>
      </c>
      <c r="H165" s="58">
        <v>650000</v>
      </c>
      <c r="I165" s="59"/>
      <c r="J165" s="60" t="s">
        <v>2411</v>
      </c>
      <c r="K165" s="80" t="s">
        <v>2411</v>
      </c>
      <c r="L165" s="62">
        <v>4440356813276</v>
      </c>
      <c r="M165" s="64"/>
      <c r="N165" s="65"/>
      <c r="O165" s="65"/>
      <c r="P165" s="65"/>
      <c r="Q165" s="65"/>
      <c r="R165" s="65"/>
      <c r="S165" s="65"/>
      <c r="T165" s="67">
        <v>15</v>
      </c>
      <c r="U165" s="67">
        <v>2568</v>
      </c>
      <c r="V165" s="68" t="s">
        <v>2180</v>
      </c>
      <c r="W165" s="69" t="e">
        <v>#REF!</v>
      </c>
      <c r="X165" s="70" t="s">
        <v>548</v>
      </c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</row>
    <row r="166" spans="1:39">
      <c r="A166" s="50"/>
      <c r="B166" s="52">
        <v>4440</v>
      </c>
      <c r="C166" s="53" t="s">
        <v>372</v>
      </c>
      <c r="D166" s="55" t="s">
        <v>931</v>
      </c>
      <c r="E166" s="53">
        <v>55</v>
      </c>
      <c r="F166" s="56" t="s">
        <v>932</v>
      </c>
      <c r="G166" s="57" t="s">
        <v>78</v>
      </c>
      <c r="H166" s="58">
        <v>850000</v>
      </c>
      <c r="I166" s="59"/>
      <c r="J166" s="60" t="s">
        <v>2411</v>
      </c>
      <c r="K166" s="80" t="s">
        <v>2411</v>
      </c>
      <c r="L166" s="62">
        <v>4440356813277</v>
      </c>
      <c r="M166" s="64"/>
      <c r="N166" s="65"/>
      <c r="O166" s="65"/>
      <c r="P166" s="65"/>
      <c r="Q166" s="65"/>
      <c r="R166" s="65"/>
      <c r="S166" s="65"/>
      <c r="T166" s="67">
        <v>15</v>
      </c>
      <c r="U166" s="67">
        <v>2568</v>
      </c>
      <c r="V166" s="68" t="s">
        <v>2180</v>
      </c>
      <c r="W166" s="69" t="e">
        <v>#REF!</v>
      </c>
      <c r="X166" s="70" t="s">
        <v>548</v>
      </c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</row>
    <row r="167" spans="1:39">
      <c r="A167" s="50"/>
      <c r="B167" s="52">
        <v>4460</v>
      </c>
      <c r="C167" s="53" t="s">
        <v>157</v>
      </c>
      <c r="D167" s="55" t="s">
        <v>939</v>
      </c>
      <c r="E167" s="53">
        <v>52</v>
      </c>
      <c r="F167" s="56" t="s">
        <v>940</v>
      </c>
      <c r="G167" s="57" t="s">
        <v>78</v>
      </c>
      <c r="H167" s="58">
        <v>47000</v>
      </c>
      <c r="I167" s="59"/>
      <c r="J167" s="60" t="s">
        <v>2413</v>
      </c>
      <c r="K167" s="80" t="s">
        <v>2411</v>
      </c>
      <c r="L167" s="62"/>
      <c r="M167" s="64"/>
      <c r="N167" s="65"/>
      <c r="O167" s="65"/>
      <c r="P167" s="65"/>
      <c r="Q167" s="65"/>
      <c r="R167" s="65"/>
      <c r="S167" s="65"/>
      <c r="T167" s="67"/>
      <c r="U167" s="67"/>
      <c r="V167" s="68" t="s">
        <v>2180</v>
      </c>
      <c r="W167" s="69" t="e">
        <v>#REF!</v>
      </c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</row>
    <row r="168" spans="1:39">
      <c r="A168" s="50"/>
      <c r="B168" s="52">
        <v>4460</v>
      </c>
      <c r="C168" s="53" t="s">
        <v>372</v>
      </c>
      <c r="D168" s="55" t="s">
        <v>936</v>
      </c>
      <c r="E168" s="53">
        <v>52</v>
      </c>
      <c r="F168" s="56" t="s">
        <v>937</v>
      </c>
      <c r="G168" s="57" t="s">
        <v>78</v>
      </c>
      <c r="H168" s="58">
        <v>55000</v>
      </c>
      <c r="I168" s="59"/>
      <c r="J168" s="60" t="s">
        <v>2413</v>
      </c>
      <c r="K168" s="80" t="s">
        <v>2411</v>
      </c>
      <c r="L168" s="62" t="s">
        <v>938</v>
      </c>
      <c r="M168" s="64"/>
      <c r="N168" s="65"/>
      <c r="O168" s="65"/>
      <c r="P168" s="65"/>
      <c r="Q168" s="65"/>
      <c r="R168" s="65"/>
      <c r="S168" s="65"/>
      <c r="T168" s="67">
        <v>15</v>
      </c>
      <c r="U168" s="67">
        <v>2565</v>
      </c>
      <c r="V168" s="68" t="s">
        <v>2180</v>
      </c>
      <c r="W168" s="69" t="e">
        <v>#REF!</v>
      </c>
      <c r="X168" s="70" t="s">
        <v>548</v>
      </c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</row>
    <row r="169" spans="1:39">
      <c r="A169" s="50"/>
      <c r="B169" s="52">
        <v>4460</v>
      </c>
      <c r="C169" s="53" t="s">
        <v>683</v>
      </c>
      <c r="D169" s="55" t="s">
        <v>935</v>
      </c>
      <c r="E169" s="53">
        <v>61</v>
      </c>
      <c r="F169" s="56" t="s">
        <v>720</v>
      </c>
      <c r="G169" s="57" t="s">
        <v>78</v>
      </c>
      <c r="H169" s="58">
        <v>175000</v>
      </c>
      <c r="I169" s="59"/>
      <c r="J169" s="60" t="s">
        <v>2413</v>
      </c>
      <c r="K169" s="61"/>
      <c r="L169" s="62"/>
      <c r="M169" s="64"/>
      <c r="N169" s="65"/>
      <c r="O169" s="65"/>
      <c r="P169" s="65"/>
      <c r="Q169" s="65"/>
      <c r="R169" s="65"/>
      <c r="S169" s="65"/>
      <c r="T169" s="67">
        <v>15</v>
      </c>
      <c r="U169" s="67">
        <v>2565</v>
      </c>
      <c r="V169" s="68" t="s">
        <v>2180</v>
      </c>
      <c r="W169" s="69" t="e">
        <v>#REF!</v>
      </c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</row>
    <row r="170" spans="1:39">
      <c r="A170" s="50"/>
      <c r="B170" s="52">
        <v>4460</v>
      </c>
      <c r="C170" s="53" t="s">
        <v>683</v>
      </c>
      <c r="D170" s="55" t="s">
        <v>941</v>
      </c>
      <c r="E170" s="53">
        <v>52</v>
      </c>
      <c r="F170" s="56" t="s">
        <v>942</v>
      </c>
      <c r="G170" s="57" t="s">
        <v>78</v>
      </c>
      <c r="H170" s="58">
        <v>300000</v>
      </c>
      <c r="I170" s="59"/>
      <c r="J170" s="60" t="s">
        <v>2413</v>
      </c>
      <c r="K170" s="80" t="s">
        <v>2411</v>
      </c>
      <c r="L170" s="62"/>
      <c r="M170" s="64"/>
      <c r="N170" s="65"/>
      <c r="O170" s="65"/>
      <c r="P170" s="65"/>
      <c r="Q170" s="65"/>
      <c r="R170" s="65"/>
      <c r="S170" s="65"/>
      <c r="T170" s="67">
        <v>15</v>
      </c>
      <c r="U170" s="67">
        <v>2565</v>
      </c>
      <c r="V170" s="68" t="s">
        <v>2180</v>
      </c>
      <c r="W170" s="69" t="e">
        <v>#REF!</v>
      </c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</row>
    <row r="171" spans="1:39">
      <c r="A171" s="50"/>
      <c r="B171" s="52">
        <v>4460</v>
      </c>
      <c r="C171" s="53" t="s">
        <v>683</v>
      </c>
      <c r="D171" s="55" t="s">
        <v>943</v>
      </c>
      <c r="E171" s="53">
        <v>62</v>
      </c>
      <c r="F171" s="56" t="s">
        <v>944</v>
      </c>
      <c r="G171" s="57" t="s">
        <v>78</v>
      </c>
      <c r="H171" s="58">
        <v>790000</v>
      </c>
      <c r="I171" s="59"/>
      <c r="J171" s="60" t="s">
        <v>2413</v>
      </c>
      <c r="K171" s="61"/>
      <c r="L171" s="62"/>
      <c r="M171" s="64"/>
      <c r="N171" s="65"/>
      <c r="O171" s="65"/>
      <c r="P171" s="65"/>
      <c r="Q171" s="65"/>
      <c r="R171" s="65"/>
      <c r="S171" s="65"/>
      <c r="T171" s="67"/>
      <c r="U171" s="67"/>
      <c r="V171" s="68" t="s">
        <v>2180</v>
      </c>
      <c r="W171" s="69" t="e">
        <v>#REF!</v>
      </c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</row>
    <row r="172" spans="1:39">
      <c r="A172" s="97"/>
      <c r="B172" s="97">
        <v>4500</v>
      </c>
      <c r="C172" s="89"/>
      <c r="D172" s="89" t="s">
        <v>4088</v>
      </c>
      <c r="E172" s="97"/>
      <c r="F172" s="37"/>
      <c r="G172" s="37"/>
      <c r="H172" s="97"/>
      <c r="I172" s="89"/>
      <c r="J172" s="500"/>
      <c r="K172" s="499"/>
      <c r="L172" s="499"/>
      <c r="M172" s="37"/>
      <c r="N172" s="37"/>
      <c r="O172" s="97"/>
      <c r="P172" s="89"/>
      <c r="Q172" s="500"/>
      <c r="R172" s="499"/>
      <c r="S172" s="499"/>
      <c r="T172" s="37"/>
      <c r="U172" s="37"/>
      <c r="V172" s="37" t="s">
        <v>2182</v>
      </c>
      <c r="W172" s="37">
        <v>3</v>
      </c>
      <c r="X172" s="500"/>
      <c r="Y172" s="499"/>
      <c r="Z172" s="49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</row>
    <row r="173" spans="1:39">
      <c r="A173" s="50"/>
      <c r="B173" s="52">
        <v>4520</v>
      </c>
      <c r="C173" s="53" t="s">
        <v>157</v>
      </c>
      <c r="D173" s="55" t="s">
        <v>947</v>
      </c>
      <c r="E173" s="53">
        <v>52</v>
      </c>
      <c r="F173" s="56" t="s">
        <v>948</v>
      </c>
      <c r="G173" s="57" t="s">
        <v>78</v>
      </c>
      <c r="H173" s="58">
        <v>28000</v>
      </c>
      <c r="I173" s="59"/>
      <c r="J173" s="60" t="s">
        <v>2414</v>
      </c>
      <c r="K173" s="80" t="s">
        <v>2414</v>
      </c>
      <c r="L173" s="62"/>
      <c r="M173" s="64"/>
      <c r="N173" s="65"/>
      <c r="O173" s="65"/>
      <c r="P173" s="65"/>
      <c r="Q173" s="65"/>
      <c r="R173" s="65"/>
      <c r="S173" s="65"/>
      <c r="T173" s="67">
        <v>15</v>
      </c>
      <c r="U173" s="67">
        <v>2565</v>
      </c>
      <c r="V173" s="68" t="s">
        <v>2182</v>
      </c>
      <c r="W173" s="69" t="e">
        <v>#REF!</v>
      </c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</row>
    <row r="174" spans="1:39">
      <c r="A174" s="50"/>
      <c r="B174" s="52">
        <v>4520</v>
      </c>
      <c r="C174" s="53" t="s">
        <v>157</v>
      </c>
      <c r="D174" s="55" t="s">
        <v>949</v>
      </c>
      <c r="E174" s="53">
        <v>62</v>
      </c>
      <c r="F174" s="56" t="s">
        <v>950</v>
      </c>
      <c r="G174" s="57" t="s">
        <v>78</v>
      </c>
      <c r="H174" s="58">
        <v>25000</v>
      </c>
      <c r="I174" s="59"/>
      <c r="J174" s="60" t="s">
        <v>2414</v>
      </c>
      <c r="K174" s="61"/>
      <c r="L174" s="62"/>
      <c r="M174" s="64"/>
      <c r="N174" s="65"/>
      <c r="O174" s="65"/>
      <c r="P174" s="65"/>
      <c r="Q174" s="65"/>
      <c r="R174" s="65"/>
      <c r="S174" s="65"/>
      <c r="T174" s="67"/>
      <c r="U174" s="67"/>
      <c r="V174" s="68" t="s">
        <v>2182</v>
      </c>
      <c r="W174" s="69" t="e">
        <v>#REF!</v>
      </c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</row>
    <row r="175" spans="1:39">
      <c r="A175" s="50"/>
      <c r="B175" s="52">
        <v>4520</v>
      </c>
      <c r="C175" s="53" t="s">
        <v>157</v>
      </c>
      <c r="D175" s="55" t="s">
        <v>951</v>
      </c>
      <c r="E175" s="53">
        <v>55</v>
      </c>
      <c r="F175" s="56" t="s">
        <v>952</v>
      </c>
      <c r="G175" s="57" t="s">
        <v>48</v>
      </c>
      <c r="H175" s="58">
        <v>8500</v>
      </c>
      <c r="I175" s="59"/>
      <c r="J175" s="60" t="s">
        <v>2414</v>
      </c>
      <c r="K175" s="80" t="s">
        <v>2414</v>
      </c>
      <c r="L175" s="62"/>
      <c r="M175" s="64"/>
      <c r="N175" s="65"/>
      <c r="O175" s="65"/>
      <c r="P175" s="65"/>
      <c r="Q175" s="65"/>
      <c r="R175" s="65"/>
      <c r="S175" s="65"/>
      <c r="T175" s="67">
        <v>15</v>
      </c>
      <c r="U175" s="67">
        <v>2568</v>
      </c>
      <c r="V175" s="68" t="s">
        <v>2182</v>
      </c>
      <c r="W175" s="69" t="e">
        <v>#REF!</v>
      </c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</row>
    <row r="176" spans="1:39">
      <c r="A176" s="97"/>
      <c r="B176" s="97">
        <v>4600</v>
      </c>
      <c r="C176" s="89"/>
      <c r="D176" s="89" t="s">
        <v>4089</v>
      </c>
      <c r="E176" s="37"/>
      <c r="F176" s="37"/>
      <c r="G176" s="97"/>
      <c r="H176" s="97"/>
      <c r="I176" s="89"/>
      <c r="J176" s="89"/>
      <c r="K176" s="97"/>
      <c r="L176" s="37"/>
      <c r="M176" s="37"/>
      <c r="N176" s="97"/>
      <c r="O176" s="97"/>
      <c r="P176" s="89"/>
      <c r="Q176" s="89"/>
      <c r="R176" s="89"/>
      <c r="S176" s="37"/>
      <c r="T176" s="37"/>
      <c r="U176" s="97"/>
      <c r="V176" s="37" t="s">
        <v>2184</v>
      </c>
      <c r="W176" s="37">
        <v>6</v>
      </c>
      <c r="X176" s="89"/>
      <c r="Y176" s="89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</row>
    <row r="177" spans="1:39">
      <c r="A177" s="50"/>
      <c r="B177" s="52">
        <v>4610</v>
      </c>
      <c r="C177" s="53" t="s">
        <v>256</v>
      </c>
      <c r="D177" s="55" t="s">
        <v>954</v>
      </c>
      <c r="E177" s="53">
        <v>58</v>
      </c>
      <c r="F177" s="56" t="s">
        <v>955</v>
      </c>
      <c r="G177" s="57" t="s">
        <v>78</v>
      </c>
      <c r="H177" s="58">
        <v>22000</v>
      </c>
      <c r="I177" s="59"/>
      <c r="J177" s="60" t="s">
        <v>2415</v>
      </c>
      <c r="K177" s="80" t="s">
        <v>2415</v>
      </c>
      <c r="L177" s="62"/>
      <c r="M177" s="64"/>
      <c r="N177" s="65"/>
      <c r="O177" s="65"/>
      <c r="P177" s="65"/>
      <c r="Q177" s="65"/>
      <c r="R177" s="65"/>
      <c r="S177" s="65"/>
      <c r="T177" s="67">
        <v>15</v>
      </c>
      <c r="U177" s="67">
        <v>2571</v>
      </c>
      <c r="V177" s="68" t="s">
        <v>2184</v>
      </c>
      <c r="W177" s="69" t="e">
        <v>#REF!</v>
      </c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</row>
    <row r="178" spans="1:39">
      <c r="A178" s="50"/>
      <c r="B178" s="52">
        <v>4610</v>
      </c>
      <c r="C178" s="53" t="s">
        <v>256</v>
      </c>
      <c r="D178" s="55" t="s">
        <v>956</v>
      </c>
      <c r="E178" s="53">
        <v>54</v>
      </c>
      <c r="F178" s="56" t="s">
        <v>957</v>
      </c>
      <c r="G178" s="57" t="s">
        <v>78</v>
      </c>
      <c r="H178" s="58">
        <v>24000</v>
      </c>
      <c r="I178" s="59"/>
      <c r="J178" s="60" t="s">
        <v>2415</v>
      </c>
      <c r="K178" s="80" t="s">
        <v>2415</v>
      </c>
      <c r="L178" s="62"/>
      <c r="M178" s="64"/>
      <c r="N178" s="65"/>
      <c r="O178" s="65"/>
      <c r="P178" s="65"/>
      <c r="Q178" s="65"/>
      <c r="R178" s="65"/>
      <c r="S178" s="65"/>
      <c r="T178" s="67">
        <v>15</v>
      </c>
      <c r="U178" s="67">
        <v>2567</v>
      </c>
      <c r="V178" s="68" t="s">
        <v>2184</v>
      </c>
      <c r="W178" s="69" t="e">
        <v>#REF!</v>
      </c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</row>
    <row r="179" spans="1:39">
      <c r="A179" s="50"/>
      <c r="B179" s="52">
        <v>4630</v>
      </c>
      <c r="C179" s="53" t="s">
        <v>256</v>
      </c>
      <c r="D179" s="55" t="s">
        <v>958</v>
      </c>
      <c r="E179" s="53">
        <v>55</v>
      </c>
      <c r="F179" s="56" t="s">
        <v>959</v>
      </c>
      <c r="G179" s="57" t="s">
        <v>78</v>
      </c>
      <c r="H179" s="58">
        <v>37000</v>
      </c>
      <c r="I179" s="59"/>
      <c r="J179" s="60" t="s">
        <v>2418</v>
      </c>
      <c r="K179" s="80" t="s">
        <v>2418</v>
      </c>
      <c r="L179" s="62"/>
      <c r="M179" s="64"/>
      <c r="N179" s="65"/>
      <c r="O179" s="65"/>
      <c r="P179" s="65"/>
      <c r="Q179" s="65"/>
      <c r="R179" s="65"/>
      <c r="S179" s="65"/>
      <c r="T179" s="67">
        <v>15</v>
      </c>
      <c r="U179" s="67">
        <v>2568</v>
      </c>
      <c r="V179" s="68" t="s">
        <v>2184</v>
      </c>
      <c r="W179" s="69" t="e">
        <v>#REF!</v>
      </c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</row>
    <row r="180" spans="1:39">
      <c r="A180" s="50"/>
      <c r="B180" s="52">
        <v>4630</v>
      </c>
      <c r="C180" s="53" t="s">
        <v>157</v>
      </c>
      <c r="D180" s="55" t="s">
        <v>960</v>
      </c>
      <c r="E180" s="53">
        <v>54</v>
      </c>
      <c r="F180" s="56" t="s">
        <v>961</v>
      </c>
      <c r="G180" s="57" t="s">
        <v>78</v>
      </c>
      <c r="H180" s="58">
        <v>25000</v>
      </c>
      <c r="I180" s="59"/>
      <c r="J180" s="60" t="s">
        <v>2418</v>
      </c>
      <c r="K180" s="80" t="s">
        <v>2418</v>
      </c>
      <c r="L180" s="62"/>
      <c r="M180" s="64"/>
      <c r="N180" s="65"/>
      <c r="O180" s="65"/>
      <c r="P180" s="65"/>
      <c r="Q180" s="65"/>
      <c r="R180" s="65"/>
      <c r="S180" s="65"/>
      <c r="T180" s="67">
        <v>15</v>
      </c>
      <c r="U180" s="67">
        <v>2567</v>
      </c>
      <c r="V180" s="68" t="s">
        <v>2184</v>
      </c>
      <c r="W180" s="69" t="e">
        <v>#REF!</v>
      </c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</row>
    <row r="181" spans="1:39">
      <c r="A181" s="50"/>
      <c r="B181" s="52">
        <v>4630</v>
      </c>
      <c r="C181" s="53" t="s">
        <v>256</v>
      </c>
      <c r="D181" s="55" t="s">
        <v>962</v>
      </c>
      <c r="E181" s="53">
        <v>55</v>
      </c>
      <c r="F181" s="56" t="s">
        <v>963</v>
      </c>
      <c r="G181" s="57" t="s">
        <v>78</v>
      </c>
      <c r="H181" s="58">
        <v>250000</v>
      </c>
      <c r="I181" s="59"/>
      <c r="J181" s="60" t="s">
        <v>2418</v>
      </c>
      <c r="K181" s="80" t="s">
        <v>2418</v>
      </c>
      <c r="L181" s="62"/>
      <c r="M181" s="64"/>
      <c r="N181" s="65"/>
      <c r="O181" s="65"/>
      <c r="P181" s="65"/>
      <c r="Q181" s="65"/>
      <c r="R181" s="65"/>
      <c r="S181" s="65"/>
      <c r="T181" s="67">
        <v>15</v>
      </c>
      <c r="U181" s="67">
        <v>2568</v>
      </c>
      <c r="V181" s="68" t="s">
        <v>2184</v>
      </c>
      <c r="W181" s="69" t="e">
        <v>#REF!</v>
      </c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</row>
    <row r="182" spans="1:39">
      <c r="A182" s="50"/>
      <c r="B182" s="333">
        <v>4630</v>
      </c>
      <c r="C182" s="334" t="s">
        <v>63</v>
      </c>
      <c r="D182" s="335" t="s">
        <v>964</v>
      </c>
      <c r="E182" s="334">
        <v>56</v>
      </c>
      <c r="F182" s="336" t="s">
        <v>4109</v>
      </c>
      <c r="G182" s="337" t="s">
        <v>28</v>
      </c>
      <c r="H182" s="338"/>
      <c r="I182" s="339"/>
      <c r="J182" s="340" t="s">
        <v>2418</v>
      </c>
      <c r="K182" s="341" t="s">
        <v>2418</v>
      </c>
      <c r="L182" s="62"/>
      <c r="M182" s="64"/>
      <c r="N182" s="65"/>
      <c r="O182" s="65"/>
      <c r="P182" s="65"/>
      <c r="Q182" s="65"/>
      <c r="R182" s="65"/>
      <c r="S182" s="65"/>
      <c r="T182" s="67">
        <v>15</v>
      </c>
      <c r="U182" s="67">
        <v>2569</v>
      </c>
      <c r="V182" s="68" t="s">
        <v>2184</v>
      </c>
      <c r="W182" s="69" t="e">
        <v>#REF!</v>
      </c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</row>
    <row r="183" spans="1:39">
      <c r="A183" s="97"/>
      <c r="B183" s="97">
        <v>4900</v>
      </c>
      <c r="C183" s="89"/>
      <c r="D183" s="89" t="s">
        <v>4090</v>
      </c>
      <c r="E183" s="37"/>
      <c r="F183" s="37"/>
      <c r="G183" s="97"/>
      <c r="H183" s="97"/>
      <c r="I183" s="89"/>
      <c r="J183" s="89"/>
      <c r="K183" s="97"/>
      <c r="L183" s="37"/>
      <c r="M183" s="37"/>
      <c r="N183" s="97"/>
      <c r="O183" s="97"/>
      <c r="P183" s="89"/>
      <c r="Q183" s="89"/>
      <c r="R183" s="89"/>
      <c r="S183" s="37"/>
      <c r="T183" s="37"/>
      <c r="U183" s="97"/>
      <c r="V183" s="37" t="s">
        <v>2191</v>
      </c>
      <c r="W183" s="37">
        <v>3</v>
      </c>
      <c r="X183" s="89"/>
      <c r="Y183" s="89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</row>
    <row r="184" spans="1:39">
      <c r="A184" s="50"/>
      <c r="B184" s="52">
        <v>4910</v>
      </c>
      <c r="C184" s="53" t="s">
        <v>157</v>
      </c>
      <c r="D184" s="55" t="s">
        <v>966</v>
      </c>
      <c r="E184" s="53">
        <v>53</v>
      </c>
      <c r="F184" s="56" t="s">
        <v>967</v>
      </c>
      <c r="G184" s="57" t="s">
        <v>78</v>
      </c>
      <c r="H184" s="58">
        <v>165000</v>
      </c>
      <c r="I184" s="59"/>
      <c r="J184" s="60" t="s">
        <v>2419</v>
      </c>
      <c r="K184" s="61"/>
      <c r="L184" s="62"/>
      <c r="M184" s="64"/>
      <c r="N184" s="65"/>
      <c r="O184" s="65"/>
      <c r="P184" s="65"/>
      <c r="Q184" s="65"/>
      <c r="R184" s="65"/>
      <c r="S184" s="65"/>
      <c r="T184" s="67">
        <v>15</v>
      </c>
      <c r="U184" s="67">
        <v>2566</v>
      </c>
      <c r="V184" s="68" t="s">
        <v>2191</v>
      </c>
      <c r="W184" s="69" t="e">
        <v>#REF!</v>
      </c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</row>
    <row r="185" spans="1:39">
      <c r="A185" s="50"/>
      <c r="B185" s="52">
        <v>4930</v>
      </c>
      <c r="C185" s="53" t="s">
        <v>157</v>
      </c>
      <c r="D185" s="55" t="s">
        <v>968</v>
      </c>
      <c r="E185" s="53">
        <v>53</v>
      </c>
      <c r="F185" s="56" t="s">
        <v>969</v>
      </c>
      <c r="G185" s="57" t="s">
        <v>78</v>
      </c>
      <c r="H185" s="58">
        <v>27000</v>
      </c>
      <c r="I185" s="59"/>
      <c r="J185" s="60" t="s">
        <v>2422</v>
      </c>
      <c r="K185" s="80" t="s">
        <v>2422</v>
      </c>
      <c r="L185" s="62"/>
      <c r="M185" s="64"/>
      <c r="N185" s="65"/>
      <c r="O185" s="65"/>
      <c r="P185" s="65"/>
      <c r="Q185" s="65"/>
      <c r="R185" s="65"/>
      <c r="S185" s="65"/>
      <c r="T185" s="67">
        <v>15</v>
      </c>
      <c r="U185" s="67">
        <v>2566</v>
      </c>
      <c r="V185" s="68" t="s">
        <v>2191</v>
      </c>
      <c r="W185" s="69" t="e">
        <v>#REF!</v>
      </c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</row>
    <row r="186" spans="1:39">
      <c r="A186" s="50"/>
      <c r="B186" s="52">
        <v>4930</v>
      </c>
      <c r="C186" s="53" t="s">
        <v>157</v>
      </c>
      <c r="D186" s="55" t="s">
        <v>970</v>
      </c>
      <c r="E186" s="53">
        <v>53</v>
      </c>
      <c r="F186" s="56" t="s">
        <v>971</v>
      </c>
      <c r="G186" s="57" t="s">
        <v>78</v>
      </c>
      <c r="H186" s="58">
        <v>25000</v>
      </c>
      <c r="I186" s="59"/>
      <c r="J186" s="60" t="s">
        <v>2422</v>
      </c>
      <c r="K186" s="80" t="s">
        <v>2422</v>
      </c>
      <c r="L186" s="62"/>
      <c r="M186" s="64"/>
      <c r="N186" s="65"/>
      <c r="O186" s="65"/>
      <c r="P186" s="65"/>
      <c r="Q186" s="65"/>
      <c r="R186" s="65"/>
      <c r="S186" s="65"/>
      <c r="T186" s="67">
        <v>15</v>
      </c>
      <c r="U186" s="67">
        <v>2566</v>
      </c>
      <c r="V186" s="68" t="s">
        <v>2191</v>
      </c>
      <c r="W186" s="69" t="e">
        <v>#REF!</v>
      </c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</row>
    <row r="187" spans="1:39">
      <c r="A187" s="97"/>
      <c r="B187" s="97">
        <v>5100</v>
      </c>
      <c r="C187" s="89"/>
      <c r="D187" s="89" t="s">
        <v>4091</v>
      </c>
      <c r="E187" s="37"/>
      <c r="F187" s="37"/>
      <c r="G187" s="97" t="s">
        <v>78</v>
      </c>
      <c r="H187" s="97" t="s">
        <v>78</v>
      </c>
      <c r="I187" s="89" t="s">
        <v>78</v>
      </c>
      <c r="J187" s="89"/>
      <c r="K187" s="97"/>
      <c r="L187" s="37"/>
      <c r="M187" s="37"/>
      <c r="N187" s="97"/>
      <c r="O187" s="97"/>
      <c r="P187" s="89"/>
      <c r="Q187" s="89"/>
      <c r="R187" s="89"/>
      <c r="S187" s="37"/>
      <c r="T187" s="37"/>
      <c r="U187" s="97"/>
      <c r="V187" s="37" t="s">
        <v>2196</v>
      </c>
      <c r="W187" s="37">
        <v>26</v>
      </c>
      <c r="X187" s="89"/>
      <c r="Y187" s="89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</row>
    <row r="188" spans="1:39">
      <c r="A188" s="50"/>
      <c r="B188" s="52">
        <v>5110</v>
      </c>
      <c r="C188" s="53" t="s">
        <v>37</v>
      </c>
      <c r="D188" s="55" t="s">
        <v>972</v>
      </c>
      <c r="E188" s="53">
        <v>53</v>
      </c>
      <c r="F188" s="56" t="s">
        <v>973</v>
      </c>
      <c r="G188" s="57" t="s">
        <v>78</v>
      </c>
      <c r="H188" s="58">
        <v>80000</v>
      </c>
      <c r="I188" s="59"/>
      <c r="J188" s="60" t="s">
        <v>2425</v>
      </c>
      <c r="K188" s="80" t="s">
        <v>2425</v>
      </c>
      <c r="L188" s="62"/>
      <c r="M188" s="64"/>
      <c r="N188" s="65"/>
      <c r="O188" s="65"/>
      <c r="P188" s="65"/>
      <c r="Q188" s="65"/>
      <c r="R188" s="65"/>
      <c r="S188" s="65"/>
      <c r="T188" s="67">
        <v>10</v>
      </c>
      <c r="U188" s="67">
        <v>2561</v>
      </c>
      <c r="V188" s="68" t="s">
        <v>2196</v>
      </c>
      <c r="W188" s="69" t="e">
        <v>#REF!</v>
      </c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</row>
    <row r="189" spans="1:39">
      <c r="A189" s="50"/>
      <c r="B189" s="52">
        <v>5120</v>
      </c>
      <c r="C189" s="53" t="s">
        <v>157</v>
      </c>
      <c r="D189" s="55" t="s">
        <v>974</v>
      </c>
      <c r="E189" s="53">
        <v>52</v>
      </c>
      <c r="F189" s="56" t="s">
        <v>975</v>
      </c>
      <c r="G189" s="57" t="s">
        <v>976</v>
      </c>
      <c r="H189" s="58">
        <v>15000</v>
      </c>
      <c r="I189" s="59"/>
      <c r="J189" s="60" t="s">
        <v>2426</v>
      </c>
      <c r="K189" s="80" t="s">
        <v>2426</v>
      </c>
      <c r="L189" s="62"/>
      <c r="M189" s="64"/>
      <c r="N189" s="65"/>
      <c r="O189" s="65"/>
      <c r="P189" s="65"/>
      <c r="Q189" s="65"/>
      <c r="R189" s="65"/>
      <c r="S189" s="65"/>
      <c r="T189" s="67">
        <v>10</v>
      </c>
      <c r="U189" s="67">
        <v>2560</v>
      </c>
      <c r="V189" s="68" t="s">
        <v>2196</v>
      </c>
      <c r="W189" s="69" t="e">
        <v>#REF!</v>
      </c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</row>
    <row r="190" spans="1:39">
      <c r="A190" s="50"/>
      <c r="B190" s="52">
        <v>5133</v>
      </c>
      <c r="C190" s="53" t="s">
        <v>157</v>
      </c>
      <c r="D190" s="55" t="s">
        <v>1024</v>
      </c>
      <c r="E190" s="53">
        <v>53</v>
      </c>
      <c r="F190" s="56" t="s">
        <v>1025</v>
      </c>
      <c r="G190" s="57" t="s">
        <v>53</v>
      </c>
      <c r="H190" s="58">
        <v>4500</v>
      </c>
      <c r="I190" s="59"/>
      <c r="J190" s="60" t="s">
        <v>2428</v>
      </c>
      <c r="K190" s="80" t="s">
        <v>2428</v>
      </c>
      <c r="L190" s="62"/>
      <c r="M190" s="64"/>
      <c r="N190" s="65"/>
      <c r="O190" s="65"/>
      <c r="P190" s="65"/>
      <c r="Q190" s="65"/>
      <c r="R190" s="65"/>
      <c r="S190" s="65"/>
      <c r="T190" s="67"/>
      <c r="U190" s="67"/>
      <c r="V190" s="68"/>
      <c r="W190" s="69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</row>
    <row r="191" spans="1:39">
      <c r="A191" s="50"/>
      <c r="B191" s="52">
        <v>5120</v>
      </c>
      <c r="C191" s="53" t="s">
        <v>37</v>
      </c>
      <c r="D191" s="55" t="s">
        <v>977</v>
      </c>
      <c r="E191" s="53">
        <v>55</v>
      </c>
      <c r="F191" s="56" t="s">
        <v>978</v>
      </c>
      <c r="G191" s="57" t="s">
        <v>78</v>
      </c>
      <c r="H191" s="58"/>
      <c r="I191" s="59"/>
      <c r="J191" s="60" t="s">
        <v>2426</v>
      </c>
      <c r="K191" s="80" t="s">
        <v>2426</v>
      </c>
      <c r="L191" s="62"/>
      <c r="M191" s="64"/>
      <c r="N191" s="65"/>
      <c r="O191" s="65"/>
      <c r="P191" s="65"/>
      <c r="Q191" s="65"/>
      <c r="R191" s="65"/>
      <c r="S191" s="65"/>
      <c r="T191" s="67">
        <v>10</v>
      </c>
      <c r="U191" s="67">
        <v>2563</v>
      </c>
      <c r="V191" s="68" t="s">
        <v>2196</v>
      </c>
      <c r="W191" s="69" t="e">
        <v>#REF!</v>
      </c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</row>
    <row r="192" spans="1:39">
      <c r="A192" s="50"/>
      <c r="B192" s="52">
        <v>5120</v>
      </c>
      <c r="C192" s="53" t="s">
        <v>157</v>
      </c>
      <c r="D192" s="55" t="s">
        <v>979</v>
      </c>
      <c r="E192" s="53">
        <v>52</v>
      </c>
      <c r="F192" s="56" t="s">
        <v>980</v>
      </c>
      <c r="G192" s="57" t="s">
        <v>48</v>
      </c>
      <c r="H192" s="58">
        <v>6500</v>
      </c>
      <c r="I192" s="59"/>
      <c r="J192" s="60" t="s">
        <v>2426</v>
      </c>
      <c r="K192" s="80" t="s">
        <v>2426</v>
      </c>
      <c r="L192" s="62"/>
      <c r="M192" s="64"/>
      <c r="N192" s="65"/>
      <c r="O192" s="65"/>
      <c r="P192" s="65"/>
      <c r="Q192" s="65"/>
      <c r="R192" s="65"/>
      <c r="S192" s="65"/>
      <c r="T192" s="67">
        <v>10</v>
      </c>
      <c r="U192" s="67">
        <v>2560</v>
      </c>
      <c r="V192" s="68" t="s">
        <v>2196</v>
      </c>
      <c r="W192" s="69" t="e">
        <v>#REF!</v>
      </c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</row>
    <row r="193" spans="1:39">
      <c r="A193" s="50"/>
      <c r="B193" s="52">
        <v>5120</v>
      </c>
      <c r="C193" s="53" t="s">
        <v>157</v>
      </c>
      <c r="D193" s="55" t="s">
        <v>981</v>
      </c>
      <c r="E193" s="53">
        <v>54</v>
      </c>
      <c r="F193" s="56" t="s">
        <v>982</v>
      </c>
      <c r="G193" s="57" t="s">
        <v>48</v>
      </c>
      <c r="H193" s="58">
        <v>7500</v>
      </c>
      <c r="I193" s="59"/>
      <c r="J193" s="60" t="s">
        <v>2426</v>
      </c>
      <c r="K193" s="80" t="s">
        <v>2426</v>
      </c>
      <c r="L193" s="62"/>
      <c r="M193" s="64"/>
      <c r="N193" s="65"/>
      <c r="O193" s="65"/>
      <c r="P193" s="65"/>
      <c r="Q193" s="65"/>
      <c r="R193" s="65"/>
      <c r="S193" s="65"/>
      <c r="T193" s="67">
        <v>10</v>
      </c>
      <c r="U193" s="67">
        <v>2562</v>
      </c>
      <c r="V193" s="68" t="s">
        <v>2196</v>
      </c>
      <c r="W193" s="69" t="e">
        <v>#REF!</v>
      </c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</row>
    <row r="194" spans="1:39">
      <c r="A194" s="50"/>
      <c r="B194" s="52">
        <v>5120</v>
      </c>
      <c r="C194" s="53" t="s">
        <v>157</v>
      </c>
      <c r="D194" s="55" t="s">
        <v>983</v>
      </c>
      <c r="E194" s="53">
        <v>53</v>
      </c>
      <c r="F194" s="56" t="s">
        <v>984</v>
      </c>
      <c r="G194" s="57" t="s">
        <v>48</v>
      </c>
      <c r="H194" s="58">
        <v>12500</v>
      </c>
      <c r="I194" s="59"/>
      <c r="J194" s="60" t="s">
        <v>2426</v>
      </c>
      <c r="K194" s="80" t="s">
        <v>2426</v>
      </c>
      <c r="L194" s="62"/>
      <c r="M194" s="64"/>
      <c r="N194" s="65"/>
      <c r="O194" s="65"/>
      <c r="P194" s="65"/>
      <c r="Q194" s="65"/>
      <c r="R194" s="65"/>
      <c r="S194" s="65"/>
      <c r="T194" s="67">
        <v>10</v>
      </c>
      <c r="U194" s="67">
        <v>2561</v>
      </c>
      <c r="V194" s="68" t="s">
        <v>2196</v>
      </c>
      <c r="W194" s="69" t="e">
        <v>#REF!</v>
      </c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</row>
    <row r="195" spans="1:39">
      <c r="A195" s="50"/>
      <c r="B195" s="52">
        <v>5120</v>
      </c>
      <c r="C195" s="53" t="s">
        <v>157</v>
      </c>
      <c r="D195" s="55" t="s">
        <v>985</v>
      </c>
      <c r="E195" s="53">
        <v>54</v>
      </c>
      <c r="F195" s="56" t="s">
        <v>986</v>
      </c>
      <c r="G195" s="57" t="s">
        <v>48</v>
      </c>
      <c r="H195" s="58">
        <v>15000</v>
      </c>
      <c r="I195" s="59"/>
      <c r="J195" s="60" t="s">
        <v>2426</v>
      </c>
      <c r="K195" s="80" t="s">
        <v>2426</v>
      </c>
      <c r="L195" s="62"/>
      <c r="M195" s="64"/>
      <c r="N195" s="65"/>
      <c r="O195" s="65"/>
      <c r="P195" s="65"/>
      <c r="Q195" s="65"/>
      <c r="R195" s="65"/>
      <c r="S195" s="65"/>
      <c r="T195" s="67">
        <v>10</v>
      </c>
      <c r="U195" s="67">
        <v>2562</v>
      </c>
      <c r="V195" s="68" t="s">
        <v>2196</v>
      </c>
      <c r="W195" s="69" t="e">
        <v>#REF!</v>
      </c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</row>
    <row r="196" spans="1:39">
      <c r="A196" s="50"/>
      <c r="B196" s="52">
        <v>5120</v>
      </c>
      <c r="C196" s="53" t="s">
        <v>157</v>
      </c>
      <c r="D196" s="55" t="s">
        <v>987</v>
      </c>
      <c r="E196" s="53">
        <v>54</v>
      </c>
      <c r="F196" s="56" t="s">
        <v>989</v>
      </c>
      <c r="G196" s="57" t="s">
        <v>48</v>
      </c>
      <c r="H196" s="58">
        <v>65000</v>
      </c>
      <c r="I196" s="59"/>
      <c r="J196" s="60" t="s">
        <v>2426</v>
      </c>
      <c r="K196" s="80" t="s">
        <v>2426</v>
      </c>
      <c r="L196" s="62"/>
      <c r="M196" s="64"/>
      <c r="N196" s="65"/>
      <c r="O196" s="65"/>
      <c r="P196" s="65"/>
      <c r="Q196" s="65"/>
      <c r="R196" s="65"/>
      <c r="S196" s="65"/>
      <c r="T196" s="67">
        <v>10</v>
      </c>
      <c r="U196" s="67">
        <v>2562</v>
      </c>
      <c r="V196" s="68" t="s">
        <v>2196</v>
      </c>
      <c r="W196" s="69" t="e">
        <v>#REF!</v>
      </c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</row>
    <row r="197" spans="1:39">
      <c r="A197" s="50"/>
      <c r="B197" s="52">
        <v>5120</v>
      </c>
      <c r="C197" s="53" t="s">
        <v>157</v>
      </c>
      <c r="D197" s="55" t="s">
        <v>990</v>
      </c>
      <c r="E197" s="53">
        <v>54</v>
      </c>
      <c r="F197" s="56" t="s">
        <v>991</v>
      </c>
      <c r="G197" s="57" t="s">
        <v>48</v>
      </c>
      <c r="H197" s="58">
        <v>28000</v>
      </c>
      <c r="I197" s="59"/>
      <c r="J197" s="60" t="s">
        <v>2426</v>
      </c>
      <c r="K197" s="80" t="s">
        <v>2426</v>
      </c>
      <c r="L197" s="62"/>
      <c r="M197" s="64"/>
      <c r="N197" s="65"/>
      <c r="O197" s="65"/>
      <c r="P197" s="65"/>
      <c r="Q197" s="65"/>
      <c r="R197" s="65"/>
      <c r="S197" s="65"/>
      <c r="T197" s="67">
        <v>10</v>
      </c>
      <c r="U197" s="67">
        <v>2562</v>
      </c>
      <c r="V197" s="68" t="s">
        <v>2196</v>
      </c>
      <c r="W197" s="69" t="e">
        <v>#REF!</v>
      </c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</row>
    <row r="198" spans="1:39">
      <c r="A198" s="50"/>
      <c r="B198" s="52">
        <v>5130</v>
      </c>
      <c r="C198" s="53" t="s">
        <v>191</v>
      </c>
      <c r="D198" s="55" t="s">
        <v>992</v>
      </c>
      <c r="E198" s="53">
        <v>59</v>
      </c>
      <c r="F198" s="56" t="s">
        <v>993</v>
      </c>
      <c r="G198" s="57" t="s">
        <v>78</v>
      </c>
      <c r="H198" s="58">
        <v>15000</v>
      </c>
      <c r="I198" s="59"/>
      <c r="J198" s="60" t="s">
        <v>2427</v>
      </c>
      <c r="K198" s="61"/>
      <c r="L198" s="62"/>
      <c r="M198" s="64"/>
      <c r="N198" s="65"/>
      <c r="O198" s="65"/>
      <c r="P198" s="65"/>
      <c r="Q198" s="65"/>
      <c r="R198" s="65"/>
      <c r="S198" s="65"/>
      <c r="T198" s="67"/>
      <c r="U198" s="67">
        <v>2557</v>
      </c>
      <c r="V198" s="68" t="s">
        <v>2196</v>
      </c>
      <c r="W198" s="69" t="e">
        <v>#REF!</v>
      </c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</row>
    <row r="199" spans="1:39">
      <c r="A199" s="50"/>
      <c r="B199" s="52">
        <v>5130</v>
      </c>
      <c r="C199" s="53" t="s">
        <v>191</v>
      </c>
      <c r="D199" s="55" t="s">
        <v>995</v>
      </c>
      <c r="E199" s="53">
        <v>59</v>
      </c>
      <c r="F199" s="56" t="s">
        <v>997</v>
      </c>
      <c r="G199" s="57" t="s">
        <v>78</v>
      </c>
      <c r="H199" s="58">
        <v>19500</v>
      </c>
      <c r="I199" s="59"/>
      <c r="J199" s="60" t="s">
        <v>2427</v>
      </c>
      <c r="K199" s="61"/>
      <c r="L199" s="62"/>
      <c r="M199" s="64"/>
      <c r="N199" s="65"/>
      <c r="O199" s="65"/>
      <c r="P199" s="65"/>
      <c r="Q199" s="65"/>
      <c r="R199" s="65"/>
      <c r="S199" s="65"/>
      <c r="T199" s="67"/>
      <c r="U199" s="67"/>
      <c r="V199" s="68" t="s">
        <v>2196</v>
      </c>
      <c r="W199" s="69" t="e">
        <v>#REF!</v>
      </c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</row>
    <row r="200" spans="1:39">
      <c r="A200" s="50"/>
      <c r="B200" s="52">
        <v>5130</v>
      </c>
      <c r="C200" s="53" t="s">
        <v>191</v>
      </c>
      <c r="D200" s="55" t="s">
        <v>998</v>
      </c>
      <c r="E200" s="53">
        <v>55</v>
      </c>
      <c r="F200" s="56" t="s">
        <v>999</v>
      </c>
      <c r="G200" s="57" t="s">
        <v>78</v>
      </c>
      <c r="H200" s="58">
        <v>13700</v>
      </c>
      <c r="I200" s="59"/>
      <c r="J200" s="60" t="s">
        <v>2427</v>
      </c>
      <c r="K200" s="80" t="s">
        <v>2427</v>
      </c>
      <c r="L200" s="62"/>
      <c r="M200" s="64"/>
      <c r="N200" s="65"/>
      <c r="O200" s="65"/>
      <c r="P200" s="65"/>
      <c r="Q200" s="65"/>
      <c r="R200" s="65"/>
      <c r="S200" s="65"/>
      <c r="T200" s="67">
        <v>10</v>
      </c>
      <c r="U200" s="67">
        <v>2563</v>
      </c>
      <c r="V200" s="68" t="s">
        <v>2196</v>
      </c>
      <c r="W200" s="69" t="e">
        <v>#REF!</v>
      </c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</row>
    <row r="201" spans="1:39">
      <c r="A201" s="50"/>
      <c r="B201" s="52">
        <v>5130</v>
      </c>
      <c r="C201" s="53" t="s">
        <v>157</v>
      </c>
      <c r="D201" s="55" t="s">
        <v>1000</v>
      </c>
      <c r="E201" s="53">
        <v>54</v>
      </c>
      <c r="F201" s="56" t="s">
        <v>1001</v>
      </c>
      <c r="G201" s="57" t="s">
        <v>78</v>
      </c>
      <c r="H201" s="58">
        <v>5500</v>
      </c>
      <c r="I201" s="59"/>
      <c r="J201" s="60" t="s">
        <v>2427</v>
      </c>
      <c r="K201" s="80" t="s">
        <v>2427</v>
      </c>
      <c r="L201" s="62"/>
      <c r="M201" s="64"/>
      <c r="N201" s="65"/>
      <c r="O201" s="65"/>
      <c r="P201" s="65"/>
      <c r="Q201" s="65"/>
      <c r="R201" s="65"/>
      <c r="S201" s="65"/>
      <c r="T201" s="67">
        <v>10</v>
      </c>
      <c r="U201" s="67">
        <v>2562</v>
      </c>
      <c r="V201" s="68" t="s">
        <v>2196</v>
      </c>
      <c r="W201" s="69" t="e">
        <v>#REF!</v>
      </c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</row>
    <row r="202" spans="1:39">
      <c r="A202" s="50"/>
      <c r="B202" s="52">
        <v>5130</v>
      </c>
      <c r="C202" s="53" t="s">
        <v>191</v>
      </c>
      <c r="D202" s="55" t="s">
        <v>1002</v>
      </c>
      <c r="E202" s="53">
        <v>58</v>
      </c>
      <c r="F202" s="56" t="s">
        <v>1003</v>
      </c>
      <c r="G202" s="57" t="s">
        <v>78</v>
      </c>
      <c r="H202" s="58">
        <v>6300</v>
      </c>
      <c r="I202" s="59"/>
      <c r="J202" s="60" t="s">
        <v>2427</v>
      </c>
      <c r="K202" s="80" t="s">
        <v>2427</v>
      </c>
      <c r="L202" s="62"/>
      <c r="M202" s="64"/>
      <c r="N202" s="65"/>
      <c r="O202" s="65"/>
      <c r="P202" s="65"/>
      <c r="Q202" s="65"/>
      <c r="R202" s="65"/>
      <c r="S202" s="65"/>
      <c r="T202" s="67"/>
      <c r="U202" s="67">
        <v>2556</v>
      </c>
      <c r="V202" s="68" t="s">
        <v>2196</v>
      </c>
      <c r="W202" s="69" t="e">
        <v>#REF!</v>
      </c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</row>
    <row r="203" spans="1:39">
      <c r="A203" s="50"/>
      <c r="B203" s="52">
        <v>5130</v>
      </c>
      <c r="C203" s="53" t="s">
        <v>191</v>
      </c>
      <c r="D203" s="55" t="s">
        <v>1004</v>
      </c>
      <c r="E203" s="53">
        <v>55</v>
      </c>
      <c r="F203" s="56" t="s">
        <v>1005</v>
      </c>
      <c r="G203" s="57" t="s">
        <v>78</v>
      </c>
      <c r="H203" s="58">
        <v>21200</v>
      </c>
      <c r="I203" s="59"/>
      <c r="J203" s="60" t="s">
        <v>2427</v>
      </c>
      <c r="K203" s="80" t="s">
        <v>2427</v>
      </c>
      <c r="L203" s="62"/>
      <c r="M203" s="64"/>
      <c r="N203" s="65"/>
      <c r="O203" s="65"/>
      <c r="P203" s="65"/>
      <c r="Q203" s="65"/>
      <c r="R203" s="65"/>
      <c r="S203" s="65"/>
      <c r="T203" s="67">
        <v>10</v>
      </c>
      <c r="U203" s="67">
        <v>2563</v>
      </c>
      <c r="V203" s="68" t="s">
        <v>2196</v>
      </c>
      <c r="W203" s="69" t="e">
        <v>#REF!</v>
      </c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</row>
    <row r="204" spans="1:39">
      <c r="A204" s="50"/>
      <c r="B204" s="52">
        <v>5130</v>
      </c>
      <c r="C204" s="53" t="s">
        <v>191</v>
      </c>
      <c r="D204" s="55" t="s">
        <v>1006</v>
      </c>
      <c r="E204" s="53">
        <v>57</v>
      </c>
      <c r="F204" s="56" t="s">
        <v>1007</v>
      </c>
      <c r="G204" s="57" t="s">
        <v>78</v>
      </c>
      <c r="H204" s="58">
        <v>17500</v>
      </c>
      <c r="I204" s="59"/>
      <c r="J204" s="60" t="s">
        <v>2427</v>
      </c>
      <c r="K204" s="80" t="s">
        <v>2427</v>
      </c>
      <c r="L204" s="62"/>
      <c r="M204" s="64"/>
      <c r="N204" s="65"/>
      <c r="O204" s="65"/>
      <c r="P204" s="65"/>
      <c r="Q204" s="65"/>
      <c r="R204" s="65"/>
      <c r="S204" s="65"/>
      <c r="T204" s="67">
        <v>10</v>
      </c>
      <c r="U204" s="67">
        <v>2565</v>
      </c>
      <c r="V204" s="68" t="s">
        <v>2196</v>
      </c>
      <c r="W204" s="69" t="e">
        <v>#REF!</v>
      </c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</row>
    <row r="205" spans="1:39">
      <c r="A205" s="50"/>
      <c r="B205" s="52">
        <v>5130</v>
      </c>
      <c r="C205" s="53" t="s">
        <v>191</v>
      </c>
      <c r="D205" s="55" t="s">
        <v>1008</v>
      </c>
      <c r="E205" s="53">
        <v>55</v>
      </c>
      <c r="F205" s="56" t="s">
        <v>1009</v>
      </c>
      <c r="G205" s="57" t="s">
        <v>78</v>
      </c>
      <c r="H205" s="58">
        <v>4500</v>
      </c>
      <c r="I205" s="59"/>
      <c r="J205" s="60" t="s">
        <v>2427</v>
      </c>
      <c r="K205" s="80" t="s">
        <v>2427</v>
      </c>
      <c r="L205" s="62"/>
      <c r="M205" s="64"/>
      <c r="N205" s="65"/>
      <c r="O205" s="65"/>
      <c r="P205" s="65"/>
      <c r="Q205" s="65"/>
      <c r="R205" s="65"/>
      <c r="S205" s="65"/>
      <c r="T205" s="67">
        <v>10</v>
      </c>
      <c r="U205" s="67">
        <v>2563</v>
      </c>
      <c r="V205" s="68" t="s">
        <v>2196</v>
      </c>
      <c r="W205" s="69" t="e">
        <v>#REF!</v>
      </c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</row>
    <row r="206" spans="1:39">
      <c r="A206" s="50"/>
      <c r="B206" s="52">
        <v>5130</v>
      </c>
      <c r="C206" s="53" t="s">
        <v>256</v>
      </c>
      <c r="D206" s="55" t="s">
        <v>1010</v>
      </c>
      <c r="E206" s="53">
        <v>53</v>
      </c>
      <c r="F206" s="56" t="s">
        <v>1011</v>
      </c>
      <c r="G206" s="57" t="s">
        <v>78</v>
      </c>
      <c r="H206" s="58">
        <v>9000</v>
      </c>
      <c r="I206" s="59"/>
      <c r="J206" s="60" t="s">
        <v>2427</v>
      </c>
      <c r="K206" s="80" t="s">
        <v>2427</v>
      </c>
      <c r="L206" s="62"/>
      <c r="M206" s="64"/>
      <c r="N206" s="65"/>
      <c r="O206" s="65"/>
      <c r="P206" s="65"/>
      <c r="Q206" s="65"/>
      <c r="R206" s="65"/>
      <c r="S206" s="65"/>
      <c r="T206" s="67">
        <v>10</v>
      </c>
      <c r="U206" s="67">
        <v>2561</v>
      </c>
      <c r="V206" s="68" t="s">
        <v>2196</v>
      </c>
      <c r="W206" s="69" t="e">
        <v>#REF!</v>
      </c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</row>
    <row r="207" spans="1:39">
      <c r="A207" s="50"/>
      <c r="B207" s="52">
        <v>5130</v>
      </c>
      <c r="C207" s="53" t="s">
        <v>191</v>
      </c>
      <c r="D207" s="55" t="s">
        <v>1012</v>
      </c>
      <c r="E207" s="53">
        <v>53</v>
      </c>
      <c r="F207" s="56" t="s">
        <v>1013</v>
      </c>
      <c r="G207" s="57" t="s">
        <v>78</v>
      </c>
      <c r="H207" s="58">
        <v>5600</v>
      </c>
      <c r="I207" s="59"/>
      <c r="J207" s="60" t="s">
        <v>2427</v>
      </c>
      <c r="K207" s="80" t="s">
        <v>2427</v>
      </c>
      <c r="L207" s="62"/>
      <c r="M207" s="64"/>
      <c r="N207" s="65"/>
      <c r="O207" s="65"/>
      <c r="P207" s="65"/>
      <c r="Q207" s="65"/>
      <c r="R207" s="65"/>
      <c r="S207" s="65"/>
      <c r="T207" s="67">
        <v>10</v>
      </c>
      <c r="U207" s="67">
        <v>2561</v>
      </c>
      <c r="V207" s="68" t="s">
        <v>2196</v>
      </c>
      <c r="W207" s="69" t="e">
        <v>#REF!</v>
      </c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</row>
    <row r="208" spans="1:39">
      <c r="A208" s="50"/>
      <c r="B208" s="52">
        <v>5130</v>
      </c>
      <c r="C208" s="53" t="s">
        <v>191</v>
      </c>
      <c r="D208" s="55" t="s">
        <v>1014</v>
      </c>
      <c r="E208" s="53">
        <v>53</v>
      </c>
      <c r="F208" s="56" t="s">
        <v>1015</v>
      </c>
      <c r="G208" s="57" t="s">
        <v>78</v>
      </c>
      <c r="H208" s="58">
        <v>6900</v>
      </c>
      <c r="I208" s="59"/>
      <c r="J208" s="60" t="s">
        <v>2427</v>
      </c>
      <c r="K208" s="80" t="s">
        <v>2427</v>
      </c>
      <c r="L208" s="62"/>
      <c r="M208" s="64"/>
      <c r="N208" s="65"/>
      <c r="O208" s="65"/>
      <c r="P208" s="65"/>
      <c r="Q208" s="65"/>
      <c r="R208" s="65"/>
      <c r="S208" s="65"/>
      <c r="T208" s="67">
        <v>10</v>
      </c>
      <c r="U208" s="67">
        <v>2561</v>
      </c>
      <c r="V208" s="68" t="s">
        <v>2196</v>
      </c>
      <c r="W208" s="69" t="e">
        <v>#REF!</v>
      </c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</row>
    <row r="209" spans="1:39">
      <c r="A209" s="50"/>
      <c r="B209" s="52">
        <v>5130</v>
      </c>
      <c r="C209" s="53" t="s">
        <v>191</v>
      </c>
      <c r="D209" s="55" t="s">
        <v>1016</v>
      </c>
      <c r="E209" s="53">
        <v>55</v>
      </c>
      <c r="F209" s="56" t="s">
        <v>1017</v>
      </c>
      <c r="G209" s="57" t="s">
        <v>78</v>
      </c>
      <c r="H209" s="58">
        <v>6500</v>
      </c>
      <c r="I209" s="59"/>
      <c r="J209" s="60" t="s">
        <v>2427</v>
      </c>
      <c r="K209" s="80" t="s">
        <v>2427</v>
      </c>
      <c r="L209" s="62"/>
      <c r="M209" s="64"/>
      <c r="N209" s="65"/>
      <c r="O209" s="65"/>
      <c r="P209" s="65"/>
      <c r="Q209" s="65"/>
      <c r="R209" s="65"/>
      <c r="S209" s="65"/>
      <c r="T209" s="67">
        <v>10</v>
      </c>
      <c r="U209" s="67">
        <v>2563</v>
      </c>
      <c r="V209" s="68" t="s">
        <v>2196</v>
      </c>
      <c r="W209" s="69" t="e">
        <v>#REF!</v>
      </c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</row>
    <row r="210" spans="1:39">
      <c r="A210" s="50"/>
      <c r="B210" s="52">
        <v>5130</v>
      </c>
      <c r="C210" s="53" t="s">
        <v>191</v>
      </c>
      <c r="D210" s="55" t="s">
        <v>1018</v>
      </c>
      <c r="E210" s="53">
        <v>55</v>
      </c>
      <c r="F210" s="56" t="s">
        <v>1019</v>
      </c>
      <c r="G210" s="57" t="s">
        <v>78</v>
      </c>
      <c r="H210" s="58">
        <v>10800</v>
      </c>
      <c r="I210" s="59"/>
      <c r="J210" s="60" t="s">
        <v>2427</v>
      </c>
      <c r="K210" s="80" t="s">
        <v>2427</v>
      </c>
      <c r="L210" s="62"/>
      <c r="M210" s="64"/>
      <c r="N210" s="65"/>
      <c r="O210" s="65"/>
      <c r="P210" s="65"/>
      <c r="Q210" s="65"/>
      <c r="R210" s="65"/>
      <c r="S210" s="65"/>
      <c r="T210" s="67">
        <v>10</v>
      </c>
      <c r="U210" s="67">
        <v>2563</v>
      </c>
      <c r="V210" s="68" t="s">
        <v>2196</v>
      </c>
      <c r="W210" s="69" t="e">
        <v>#REF!</v>
      </c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</row>
    <row r="211" spans="1:39">
      <c r="A211" s="50"/>
      <c r="B211" s="52">
        <v>5130</v>
      </c>
      <c r="C211" s="53" t="s">
        <v>191</v>
      </c>
      <c r="D211" s="55" t="s">
        <v>1020</v>
      </c>
      <c r="E211" s="53">
        <v>53</v>
      </c>
      <c r="F211" s="56" t="s">
        <v>1021</v>
      </c>
      <c r="G211" s="57" t="s">
        <v>78</v>
      </c>
      <c r="H211" s="58">
        <v>11500</v>
      </c>
      <c r="I211" s="59"/>
      <c r="J211" s="60" t="s">
        <v>2427</v>
      </c>
      <c r="K211" s="80" t="s">
        <v>2427</v>
      </c>
      <c r="L211" s="62"/>
      <c r="M211" s="64"/>
      <c r="N211" s="65"/>
      <c r="O211" s="65"/>
      <c r="P211" s="65"/>
      <c r="Q211" s="65"/>
      <c r="R211" s="65"/>
      <c r="S211" s="65"/>
      <c r="T211" s="67">
        <v>10</v>
      </c>
      <c r="U211" s="67">
        <v>2561</v>
      </c>
      <c r="V211" s="68" t="s">
        <v>2196</v>
      </c>
      <c r="W211" s="69" t="e">
        <v>#REF!</v>
      </c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</row>
    <row r="212" spans="1:39">
      <c r="A212" s="50"/>
      <c r="B212" s="52">
        <v>5130</v>
      </c>
      <c r="C212" s="53" t="s">
        <v>191</v>
      </c>
      <c r="D212" s="55" t="s">
        <v>1022</v>
      </c>
      <c r="E212" s="53">
        <v>52</v>
      </c>
      <c r="F212" s="56" t="s">
        <v>1023</v>
      </c>
      <c r="G212" s="57" t="s">
        <v>78</v>
      </c>
      <c r="H212" s="58">
        <v>12500</v>
      </c>
      <c r="I212" s="59"/>
      <c r="J212" s="60" t="s">
        <v>2427</v>
      </c>
      <c r="K212" s="80" t="s">
        <v>2427</v>
      </c>
      <c r="L212" s="62"/>
      <c r="M212" s="64"/>
      <c r="N212" s="65"/>
      <c r="O212" s="65"/>
      <c r="P212" s="65"/>
      <c r="Q212" s="65"/>
      <c r="R212" s="65"/>
      <c r="S212" s="65"/>
      <c r="T212" s="67">
        <v>10</v>
      </c>
      <c r="U212" s="67">
        <v>2560</v>
      </c>
      <c r="V212" s="68" t="s">
        <v>2196</v>
      </c>
      <c r="W212" s="69" t="e">
        <v>#REF!</v>
      </c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</row>
    <row r="213" spans="1:39">
      <c r="A213" s="50"/>
      <c r="B213" s="52">
        <v>5180</v>
      </c>
      <c r="C213" s="53" t="s">
        <v>157</v>
      </c>
      <c r="D213" s="55" t="s">
        <v>1026</v>
      </c>
      <c r="E213" s="53">
        <v>54</v>
      </c>
      <c r="F213" s="56" t="s">
        <v>1027</v>
      </c>
      <c r="G213" s="57" t="s">
        <v>53</v>
      </c>
      <c r="H213" s="58">
        <v>28000</v>
      </c>
      <c r="I213" s="59"/>
      <c r="J213" s="60" t="s">
        <v>2431</v>
      </c>
      <c r="K213" s="80" t="s">
        <v>2431</v>
      </c>
      <c r="L213" s="62"/>
      <c r="M213" s="64"/>
      <c r="N213" s="65"/>
      <c r="O213" s="65"/>
      <c r="P213" s="65"/>
      <c r="Q213" s="65"/>
      <c r="R213" s="65"/>
      <c r="S213" s="65"/>
      <c r="T213" s="67">
        <v>10</v>
      </c>
      <c r="U213" s="67">
        <v>2562</v>
      </c>
      <c r="V213" s="68" t="s">
        <v>2196</v>
      </c>
      <c r="W213" s="69" t="e">
        <v>#REF!</v>
      </c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</row>
    <row r="214" spans="1:39">
      <c r="A214" s="97"/>
      <c r="B214" s="97">
        <v>5200</v>
      </c>
      <c r="C214" s="89"/>
      <c r="D214" s="364" t="s">
        <v>4092</v>
      </c>
      <c r="E214" s="37"/>
      <c r="F214" s="37"/>
      <c r="G214" s="97"/>
      <c r="H214" s="97"/>
      <c r="I214" s="89"/>
      <c r="J214" s="89"/>
      <c r="K214" s="97"/>
      <c r="L214" s="37"/>
      <c r="M214" s="37"/>
      <c r="N214" s="97"/>
      <c r="O214" s="97"/>
      <c r="P214" s="89"/>
      <c r="Q214" s="89"/>
      <c r="R214" s="89"/>
      <c r="S214" s="37"/>
      <c r="T214" s="37"/>
      <c r="U214" s="97"/>
      <c r="V214" s="37" t="s">
        <v>2198</v>
      </c>
      <c r="W214" s="37">
        <v>0</v>
      </c>
      <c r="X214" s="89"/>
      <c r="Y214" s="89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</row>
    <row r="215" spans="1:39">
      <c r="A215" s="97"/>
      <c r="B215" s="97">
        <v>5300</v>
      </c>
      <c r="C215" s="89"/>
      <c r="D215" s="365" t="s">
        <v>4093</v>
      </c>
      <c r="E215" s="37"/>
      <c r="F215" s="97"/>
      <c r="G215" s="97"/>
      <c r="H215" s="97"/>
      <c r="I215" s="89"/>
      <c r="J215" s="89"/>
      <c r="K215" s="37"/>
      <c r="L215" s="37"/>
      <c r="M215" s="97"/>
      <c r="N215" s="97"/>
      <c r="O215" s="97"/>
      <c r="P215" s="89"/>
      <c r="Q215" s="89"/>
      <c r="R215" s="37"/>
      <c r="S215" s="37"/>
      <c r="T215" s="97"/>
      <c r="U215" s="97"/>
      <c r="V215" s="37" t="s">
        <v>2200</v>
      </c>
      <c r="W215" s="37">
        <v>2</v>
      </c>
      <c r="X215" s="89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</row>
    <row r="216" spans="1:39">
      <c r="A216" s="50"/>
      <c r="B216" s="52">
        <v>5345</v>
      </c>
      <c r="C216" s="53" t="s">
        <v>157</v>
      </c>
      <c r="D216" s="55" t="s">
        <v>1028</v>
      </c>
      <c r="E216" s="53">
        <v>52</v>
      </c>
      <c r="F216" s="56" t="s">
        <v>1029</v>
      </c>
      <c r="G216" s="57" t="s">
        <v>48</v>
      </c>
      <c r="H216" s="58">
        <v>6500</v>
      </c>
      <c r="I216" s="59"/>
      <c r="J216" s="60" t="s">
        <v>2436</v>
      </c>
      <c r="K216" s="80" t="s">
        <v>2436</v>
      </c>
      <c r="L216" s="62"/>
      <c r="M216" s="64"/>
      <c r="N216" s="65"/>
      <c r="O216" s="65"/>
      <c r="P216" s="65"/>
      <c r="Q216" s="65"/>
      <c r="R216" s="65"/>
      <c r="S216" s="65"/>
      <c r="T216" s="67">
        <v>15</v>
      </c>
      <c r="U216" s="67">
        <v>2565</v>
      </c>
      <c r="V216" s="68" t="s">
        <v>2200</v>
      </c>
      <c r="W216" s="69" t="e">
        <v>#REF!</v>
      </c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</row>
    <row r="217" spans="1:39">
      <c r="A217" s="50"/>
      <c r="B217" s="52">
        <v>5345</v>
      </c>
      <c r="C217" s="53" t="s">
        <v>157</v>
      </c>
      <c r="D217" s="55" t="s">
        <v>1030</v>
      </c>
      <c r="E217" s="53">
        <v>53</v>
      </c>
      <c r="F217" s="56" t="s">
        <v>1031</v>
      </c>
      <c r="G217" s="57" t="s">
        <v>48</v>
      </c>
      <c r="H217" s="58">
        <v>8500</v>
      </c>
      <c r="I217" s="59"/>
      <c r="J217" s="60" t="s">
        <v>2436</v>
      </c>
      <c r="K217" s="80" t="s">
        <v>2436</v>
      </c>
      <c r="L217" s="62"/>
      <c r="M217" s="64"/>
      <c r="N217" s="65"/>
      <c r="O217" s="65"/>
      <c r="P217" s="65"/>
      <c r="Q217" s="65"/>
      <c r="R217" s="65"/>
      <c r="S217" s="65"/>
      <c r="T217" s="67">
        <v>15</v>
      </c>
      <c r="U217" s="67">
        <v>2566</v>
      </c>
      <c r="V217" s="68" t="s">
        <v>2200</v>
      </c>
      <c r="W217" s="69" t="e">
        <v>#REF!</v>
      </c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</row>
    <row r="218" spans="1:39">
      <c r="A218" s="97"/>
      <c r="B218" s="97">
        <v>5400</v>
      </c>
      <c r="C218" s="89"/>
      <c r="D218" s="365" t="s">
        <v>4094</v>
      </c>
      <c r="E218" s="37"/>
      <c r="F218" s="97"/>
      <c r="G218" s="97"/>
      <c r="H218" s="97"/>
      <c r="I218" s="89"/>
      <c r="J218" s="89"/>
      <c r="K218" s="37"/>
      <c r="L218" s="37"/>
      <c r="M218" s="97"/>
      <c r="N218" s="97"/>
      <c r="O218" s="97"/>
      <c r="P218" s="89"/>
      <c r="Q218" s="89"/>
      <c r="R218" s="37"/>
      <c r="S218" s="37"/>
      <c r="T218" s="97"/>
      <c r="U218" s="97"/>
      <c r="V218" s="37" t="s">
        <v>2202</v>
      </c>
      <c r="W218" s="37">
        <v>2</v>
      </c>
      <c r="X218" s="89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</row>
    <row r="219" spans="1:39">
      <c r="A219" s="50"/>
      <c r="B219" s="52">
        <v>5410</v>
      </c>
      <c r="C219" s="53" t="s">
        <v>191</v>
      </c>
      <c r="D219" s="55" t="s">
        <v>1032</v>
      </c>
      <c r="E219" s="53">
        <v>54</v>
      </c>
      <c r="F219" s="56" t="s">
        <v>1033</v>
      </c>
      <c r="G219" s="57" t="s">
        <v>358</v>
      </c>
      <c r="H219" s="58">
        <v>190000</v>
      </c>
      <c r="I219" s="59"/>
      <c r="J219" s="60" t="s">
        <v>2439</v>
      </c>
      <c r="K219" s="80" t="s">
        <v>2439</v>
      </c>
      <c r="L219" s="62"/>
      <c r="M219" s="64"/>
      <c r="N219" s="65"/>
      <c r="O219" s="65"/>
      <c r="P219" s="65"/>
      <c r="Q219" s="65"/>
      <c r="R219" s="65"/>
      <c r="S219" s="65"/>
      <c r="T219" s="67">
        <v>20</v>
      </c>
      <c r="U219" s="67">
        <v>2572</v>
      </c>
      <c r="V219" s="68" t="s">
        <v>2202</v>
      </c>
      <c r="W219" s="69" t="e">
        <v>#REF!</v>
      </c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</row>
    <row r="220" spans="1:39">
      <c r="A220" s="50"/>
      <c r="B220" s="52">
        <v>5430</v>
      </c>
      <c r="C220" s="53" t="s">
        <v>256</v>
      </c>
      <c r="D220" s="55" t="s">
        <v>1036</v>
      </c>
      <c r="E220" s="53">
        <v>59</v>
      </c>
      <c r="F220" s="56" t="s">
        <v>1037</v>
      </c>
      <c r="G220" s="57" t="s">
        <v>433</v>
      </c>
      <c r="H220" s="58">
        <v>17000</v>
      </c>
      <c r="I220" s="59">
        <v>42653</v>
      </c>
      <c r="J220" s="60" t="s">
        <v>2442</v>
      </c>
      <c r="K220" s="61"/>
      <c r="L220" s="62"/>
      <c r="M220" s="64"/>
      <c r="N220" s="65"/>
      <c r="O220" s="65"/>
      <c r="P220" s="65"/>
      <c r="Q220" s="65"/>
      <c r="R220" s="65"/>
      <c r="S220" s="65"/>
      <c r="T220" s="67"/>
      <c r="U220" s="67">
        <v>2557</v>
      </c>
      <c r="V220" s="68" t="s">
        <v>2202</v>
      </c>
      <c r="W220" s="69" t="e">
        <v>#REF!</v>
      </c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</row>
    <row r="221" spans="1:39">
      <c r="A221" s="97"/>
      <c r="B221" s="97">
        <v>5600</v>
      </c>
      <c r="C221" s="89"/>
      <c r="D221" s="365" t="s">
        <v>4095</v>
      </c>
      <c r="E221" s="37"/>
      <c r="F221" s="97"/>
      <c r="G221" s="97"/>
      <c r="H221" s="97"/>
      <c r="I221" s="89"/>
      <c r="J221" s="89"/>
      <c r="K221" s="37"/>
      <c r="L221" s="37"/>
      <c r="M221" s="97"/>
      <c r="N221" s="97"/>
      <c r="O221" s="97"/>
      <c r="P221" s="89"/>
      <c r="Q221" s="89"/>
      <c r="R221" s="37"/>
      <c r="S221" s="37"/>
      <c r="T221" s="97"/>
      <c r="U221" s="97"/>
      <c r="V221" s="37" t="s">
        <v>2206</v>
      </c>
      <c r="W221" s="37">
        <v>0</v>
      </c>
      <c r="X221" s="89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</row>
    <row r="222" spans="1:39">
      <c r="A222" s="97"/>
      <c r="B222" s="97">
        <v>5900</v>
      </c>
      <c r="C222" s="89"/>
      <c r="D222" s="365" t="s">
        <v>4096</v>
      </c>
      <c r="E222" s="37"/>
      <c r="F222" s="97"/>
      <c r="G222" s="97"/>
      <c r="H222" s="97"/>
      <c r="I222" s="89"/>
      <c r="J222" s="89"/>
      <c r="K222" s="37"/>
      <c r="L222" s="37"/>
      <c r="M222" s="97"/>
      <c r="N222" s="97"/>
      <c r="O222" s="97"/>
      <c r="P222" s="89"/>
      <c r="Q222" s="89"/>
      <c r="R222" s="37"/>
      <c r="S222" s="37"/>
      <c r="T222" s="97"/>
      <c r="U222" s="97"/>
      <c r="V222" s="37" t="s">
        <v>2212</v>
      </c>
      <c r="W222" s="37">
        <v>2</v>
      </c>
      <c r="X222" s="89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</row>
    <row r="223" spans="1:39">
      <c r="A223" s="50"/>
      <c r="B223" s="52">
        <v>5925</v>
      </c>
      <c r="C223" s="53" t="s">
        <v>37</v>
      </c>
      <c r="D223" s="55" t="s">
        <v>1042</v>
      </c>
      <c r="E223" s="53">
        <v>60</v>
      </c>
      <c r="F223" s="56" t="s">
        <v>1043</v>
      </c>
      <c r="G223" s="57" t="s">
        <v>1044</v>
      </c>
      <c r="H223" s="58">
        <v>29000</v>
      </c>
      <c r="I223" s="59"/>
      <c r="J223" s="60" t="s">
        <v>2452</v>
      </c>
      <c r="K223" s="61"/>
      <c r="L223" s="62"/>
      <c r="M223" s="64"/>
      <c r="N223" s="65"/>
      <c r="O223" s="65"/>
      <c r="P223" s="65"/>
      <c r="Q223" s="65"/>
      <c r="R223" s="65"/>
      <c r="S223" s="65"/>
      <c r="T223" s="67"/>
      <c r="U223" s="67">
        <v>2558</v>
      </c>
      <c r="V223" s="68" t="s">
        <v>2212</v>
      </c>
      <c r="W223" s="69" t="e">
        <v>#REF!</v>
      </c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</row>
    <row r="224" spans="1:39">
      <c r="A224" s="50"/>
      <c r="B224" s="52">
        <v>5925</v>
      </c>
      <c r="C224" s="53" t="s">
        <v>37</v>
      </c>
      <c r="D224" s="55" t="s">
        <v>1046</v>
      </c>
      <c r="E224" s="53">
        <v>54</v>
      </c>
      <c r="F224" s="56" t="s">
        <v>1048</v>
      </c>
      <c r="G224" s="57" t="s">
        <v>1044</v>
      </c>
      <c r="H224" s="58"/>
      <c r="I224" s="59"/>
      <c r="J224" s="60" t="s">
        <v>2452</v>
      </c>
      <c r="K224" s="80" t="s">
        <v>2452</v>
      </c>
      <c r="L224" s="62"/>
      <c r="M224" s="64"/>
      <c r="N224" s="65"/>
      <c r="O224" s="65"/>
      <c r="P224" s="65"/>
      <c r="Q224" s="65"/>
      <c r="R224" s="65"/>
      <c r="S224" s="65"/>
      <c r="T224" s="67">
        <v>15</v>
      </c>
      <c r="U224" s="67">
        <v>2567</v>
      </c>
      <c r="V224" s="68" t="s">
        <v>2212</v>
      </c>
      <c r="W224" s="69" t="e">
        <v>#REF!</v>
      </c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</row>
    <row r="225" spans="1:39">
      <c r="A225" s="97"/>
      <c r="B225" s="97">
        <v>6100</v>
      </c>
      <c r="C225" s="89"/>
      <c r="D225" s="365" t="s">
        <v>4097</v>
      </c>
      <c r="E225" s="37"/>
      <c r="F225" s="97"/>
      <c r="G225" s="97"/>
      <c r="H225" s="97"/>
      <c r="I225" s="89"/>
      <c r="J225" s="89"/>
      <c r="K225" s="37"/>
      <c r="L225" s="37"/>
      <c r="M225" s="97"/>
      <c r="N225" s="97"/>
      <c r="O225" s="97"/>
      <c r="P225" s="89"/>
      <c r="Q225" s="89"/>
      <c r="R225" s="37"/>
      <c r="S225" s="37"/>
      <c r="T225" s="97"/>
      <c r="U225" s="97"/>
      <c r="V225" s="37" t="s">
        <v>2216</v>
      </c>
      <c r="W225" s="37">
        <v>43</v>
      </c>
      <c r="X225" s="89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</row>
    <row r="226" spans="1:39">
      <c r="A226" s="50"/>
      <c r="B226" s="52">
        <v>6110</v>
      </c>
      <c r="C226" s="53" t="s">
        <v>37</v>
      </c>
      <c r="D226" s="55" t="s">
        <v>1051</v>
      </c>
      <c r="E226" s="53">
        <v>53</v>
      </c>
      <c r="F226" s="56" t="s">
        <v>1052</v>
      </c>
      <c r="G226" s="57" t="s">
        <v>78</v>
      </c>
      <c r="H226" s="58">
        <v>350000</v>
      </c>
      <c r="I226" s="59"/>
      <c r="J226" s="60" t="s">
        <v>2459</v>
      </c>
      <c r="K226" s="80" t="s">
        <v>2459</v>
      </c>
      <c r="L226" s="62"/>
      <c r="M226" s="64"/>
      <c r="N226" s="65"/>
      <c r="O226" s="65"/>
      <c r="P226" s="65"/>
      <c r="Q226" s="65"/>
      <c r="R226" s="65"/>
      <c r="S226" s="65"/>
      <c r="T226" s="67">
        <v>15</v>
      </c>
      <c r="U226" s="67">
        <v>2566</v>
      </c>
      <c r="V226" s="68" t="s">
        <v>2216</v>
      </c>
      <c r="W226" s="69" t="e">
        <v>#REF!</v>
      </c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</row>
    <row r="227" spans="1:39">
      <c r="A227" s="50"/>
      <c r="B227" s="52">
        <v>6110</v>
      </c>
      <c r="C227" s="53" t="s">
        <v>37</v>
      </c>
      <c r="D227" s="55" t="s">
        <v>1053</v>
      </c>
      <c r="E227" s="53">
        <v>53</v>
      </c>
      <c r="F227" s="56" t="s">
        <v>1054</v>
      </c>
      <c r="G227" s="57" t="s">
        <v>78</v>
      </c>
      <c r="H227" s="58">
        <v>738000</v>
      </c>
      <c r="I227" s="59"/>
      <c r="J227" s="60" t="s">
        <v>2459</v>
      </c>
      <c r="K227" s="80" t="s">
        <v>2459</v>
      </c>
      <c r="L227" s="62"/>
      <c r="M227" s="64"/>
      <c r="N227" s="65"/>
      <c r="O227" s="65"/>
      <c r="P227" s="65"/>
      <c r="Q227" s="65"/>
      <c r="R227" s="65"/>
      <c r="S227" s="65"/>
      <c r="T227" s="67">
        <v>15</v>
      </c>
      <c r="U227" s="67">
        <v>2566</v>
      </c>
      <c r="V227" s="68" t="s">
        <v>2216</v>
      </c>
      <c r="W227" s="69" t="e">
        <v>#REF!</v>
      </c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</row>
    <row r="228" spans="1:39">
      <c r="A228" s="50"/>
      <c r="B228" s="52">
        <v>6110</v>
      </c>
      <c r="C228" s="53" t="s">
        <v>37</v>
      </c>
      <c r="D228" s="55" t="s">
        <v>1055</v>
      </c>
      <c r="E228" s="53">
        <v>58</v>
      </c>
      <c r="F228" s="56" t="s">
        <v>1056</v>
      </c>
      <c r="G228" s="57" t="s">
        <v>78</v>
      </c>
      <c r="H228" s="58">
        <v>180000</v>
      </c>
      <c r="I228" s="59"/>
      <c r="J228" s="60" t="s">
        <v>2459</v>
      </c>
      <c r="K228" s="80" t="s">
        <v>2459</v>
      </c>
      <c r="L228" s="62"/>
      <c r="M228" s="64"/>
      <c r="N228" s="65"/>
      <c r="O228" s="65"/>
      <c r="P228" s="65"/>
      <c r="Q228" s="65"/>
      <c r="R228" s="65"/>
      <c r="S228" s="65"/>
      <c r="T228" s="67">
        <v>15</v>
      </c>
      <c r="U228" s="67">
        <v>2571</v>
      </c>
      <c r="V228" s="68" t="s">
        <v>2216</v>
      </c>
      <c r="W228" s="69" t="e">
        <v>#REF!</v>
      </c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</row>
    <row r="229" spans="1:39">
      <c r="A229" s="50"/>
      <c r="B229" s="52">
        <v>6110</v>
      </c>
      <c r="C229" s="53" t="s">
        <v>37</v>
      </c>
      <c r="D229" s="55" t="s">
        <v>1057</v>
      </c>
      <c r="E229" s="53">
        <v>58</v>
      </c>
      <c r="F229" s="56" t="s">
        <v>1058</v>
      </c>
      <c r="G229" s="57" t="s">
        <v>78</v>
      </c>
      <c r="H229" s="58">
        <v>450000</v>
      </c>
      <c r="I229" s="59"/>
      <c r="J229" s="60" t="s">
        <v>2459</v>
      </c>
      <c r="K229" s="80" t="s">
        <v>2459</v>
      </c>
      <c r="L229" s="62"/>
      <c r="M229" s="64"/>
      <c r="N229" s="65"/>
      <c r="O229" s="65"/>
      <c r="P229" s="65"/>
      <c r="Q229" s="65"/>
      <c r="R229" s="65"/>
      <c r="S229" s="65"/>
      <c r="T229" s="67">
        <v>15</v>
      </c>
      <c r="U229" s="67">
        <v>2571</v>
      </c>
      <c r="V229" s="68" t="s">
        <v>2216</v>
      </c>
      <c r="W229" s="69" t="e">
        <v>#REF!</v>
      </c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</row>
    <row r="230" spans="1:39">
      <c r="A230" s="50"/>
      <c r="B230" s="52">
        <v>6110</v>
      </c>
      <c r="C230" s="53" t="s">
        <v>37</v>
      </c>
      <c r="D230" s="55" t="s">
        <v>1059</v>
      </c>
      <c r="E230" s="53">
        <v>58</v>
      </c>
      <c r="F230" s="56" t="s">
        <v>1060</v>
      </c>
      <c r="G230" s="57" t="s">
        <v>78</v>
      </c>
      <c r="H230" s="58">
        <v>350000</v>
      </c>
      <c r="I230" s="59"/>
      <c r="J230" s="60" t="s">
        <v>2459</v>
      </c>
      <c r="K230" s="80" t="s">
        <v>2459</v>
      </c>
      <c r="L230" s="62"/>
      <c r="M230" s="64"/>
      <c r="N230" s="65"/>
      <c r="O230" s="65"/>
      <c r="P230" s="65"/>
      <c r="Q230" s="65"/>
      <c r="R230" s="65"/>
      <c r="S230" s="65"/>
      <c r="T230" s="67">
        <v>15</v>
      </c>
      <c r="U230" s="67">
        <v>2571</v>
      </c>
      <c r="V230" s="68" t="s">
        <v>2216</v>
      </c>
      <c r="W230" s="69" t="e">
        <v>#REF!</v>
      </c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</row>
    <row r="231" spans="1:39">
      <c r="A231" s="50"/>
      <c r="B231" s="52">
        <v>6110</v>
      </c>
      <c r="C231" s="53" t="s">
        <v>37</v>
      </c>
      <c r="D231" s="55" t="s">
        <v>1061</v>
      </c>
      <c r="E231" s="53">
        <v>58</v>
      </c>
      <c r="F231" s="56" t="s">
        <v>1062</v>
      </c>
      <c r="G231" s="57" t="s">
        <v>78</v>
      </c>
      <c r="H231" s="58">
        <v>300000</v>
      </c>
      <c r="I231" s="59"/>
      <c r="J231" s="60" t="s">
        <v>2459</v>
      </c>
      <c r="K231" s="80" t="s">
        <v>2459</v>
      </c>
      <c r="L231" s="62"/>
      <c r="M231" s="64"/>
      <c r="N231" s="65"/>
      <c r="O231" s="65"/>
      <c r="P231" s="65"/>
      <c r="Q231" s="65"/>
      <c r="R231" s="65"/>
      <c r="S231" s="65"/>
      <c r="T231" s="67">
        <v>15</v>
      </c>
      <c r="U231" s="67">
        <v>2571</v>
      </c>
      <c r="V231" s="68" t="s">
        <v>2216</v>
      </c>
      <c r="W231" s="69" t="e">
        <v>#REF!</v>
      </c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</row>
    <row r="232" spans="1:39">
      <c r="A232" s="50"/>
      <c r="B232" s="52">
        <v>6110</v>
      </c>
      <c r="C232" s="53" t="s">
        <v>37</v>
      </c>
      <c r="D232" s="55" t="s">
        <v>1063</v>
      </c>
      <c r="E232" s="53">
        <v>58</v>
      </c>
      <c r="F232" s="56" t="s">
        <v>1064</v>
      </c>
      <c r="G232" s="57" t="s">
        <v>78</v>
      </c>
      <c r="H232" s="58">
        <v>450000</v>
      </c>
      <c r="I232" s="59"/>
      <c r="J232" s="60" t="s">
        <v>2459</v>
      </c>
      <c r="K232" s="80" t="s">
        <v>2459</v>
      </c>
      <c r="L232" s="62"/>
      <c r="M232" s="64"/>
      <c r="N232" s="65"/>
      <c r="O232" s="65"/>
      <c r="P232" s="65"/>
      <c r="Q232" s="65"/>
      <c r="R232" s="65"/>
      <c r="S232" s="65"/>
      <c r="T232" s="67">
        <v>15</v>
      </c>
      <c r="U232" s="67">
        <v>2571</v>
      </c>
      <c r="V232" s="68" t="s">
        <v>2216</v>
      </c>
      <c r="W232" s="69" t="e">
        <v>#REF!</v>
      </c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</row>
    <row r="233" spans="1:39">
      <c r="A233" s="50"/>
      <c r="B233" s="52">
        <v>6110</v>
      </c>
      <c r="C233" s="53" t="s">
        <v>37</v>
      </c>
      <c r="D233" s="55" t="s">
        <v>1065</v>
      </c>
      <c r="E233" s="53">
        <v>61</v>
      </c>
      <c r="F233" s="56" t="s">
        <v>1066</v>
      </c>
      <c r="G233" s="57" t="s">
        <v>78</v>
      </c>
      <c r="H233" s="58">
        <v>1500000</v>
      </c>
      <c r="I233" s="59"/>
      <c r="J233" s="60" t="s">
        <v>2459</v>
      </c>
      <c r="K233" s="61"/>
      <c r="L233" s="62"/>
      <c r="M233" s="64"/>
      <c r="N233" s="65"/>
      <c r="O233" s="65"/>
      <c r="P233" s="65"/>
      <c r="Q233" s="65"/>
      <c r="R233" s="65"/>
      <c r="S233" s="65"/>
      <c r="T233" s="67"/>
      <c r="U233" s="67"/>
      <c r="V233" s="68" t="s">
        <v>2216</v>
      </c>
      <c r="W233" s="69" t="e">
        <v>#REF!</v>
      </c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</row>
    <row r="234" spans="1:39">
      <c r="A234" s="50"/>
      <c r="B234" s="52">
        <v>6110</v>
      </c>
      <c r="C234" s="53" t="s">
        <v>37</v>
      </c>
      <c r="D234" s="55" t="s">
        <v>1067</v>
      </c>
      <c r="E234" s="53">
        <v>59</v>
      </c>
      <c r="F234" s="56" t="s">
        <v>1068</v>
      </c>
      <c r="G234" s="57" t="s">
        <v>78</v>
      </c>
      <c r="H234" s="58">
        <v>800000</v>
      </c>
      <c r="I234" s="59"/>
      <c r="J234" s="60" t="s">
        <v>2459</v>
      </c>
      <c r="K234" s="61"/>
      <c r="L234" s="62"/>
      <c r="M234" s="64"/>
      <c r="N234" s="65"/>
      <c r="O234" s="65"/>
      <c r="P234" s="65"/>
      <c r="Q234" s="65"/>
      <c r="R234" s="65"/>
      <c r="S234" s="65"/>
      <c r="T234" s="67"/>
      <c r="U234" s="67">
        <v>2557</v>
      </c>
      <c r="V234" s="68" t="s">
        <v>2216</v>
      </c>
      <c r="W234" s="69" t="e">
        <v>#REF!</v>
      </c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</row>
    <row r="235" spans="1:39">
      <c r="A235" s="50"/>
      <c r="B235" s="52">
        <v>6110</v>
      </c>
      <c r="C235" s="53" t="s">
        <v>37</v>
      </c>
      <c r="D235" s="55" t="s">
        <v>1069</v>
      </c>
      <c r="E235" s="53">
        <v>60</v>
      </c>
      <c r="F235" s="56" t="s">
        <v>1070</v>
      </c>
      <c r="G235" s="57" t="s">
        <v>78</v>
      </c>
      <c r="H235" s="58">
        <v>1200000</v>
      </c>
      <c r="I235" s="59"/>
      <c r="J235" s="60" t="s">
        <v>2459</v>
      </c>
      <c r="K235" s="61"/>
      <c r="L235" s="62"/>
      <c r="M235" s="64"/>
      <c r="N235" s="65"/>
      <c r="O235" s="65"/>
      <c r="P235" s="65"/>
      <c r="Q235" s="65"/>
      <c r="R235" s="65"/>
      <c r="S235" s="65"/>
      <c r="T235" s="67"/>
      <c r="U235" s="67">
        <v>2558</v>
      </c>
      <c r="V235" s="68" t="s">
        <v>2216</v>
      </c>
      <c r="W235" s="69" t="e">
        <v>#REF!</v>
      </c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</row>
    <row r="236" spans="1:39">
      <c r="A236" s="50"/>
      <c r="B236" s="52">
        <v>6110</v>
      </c>
      <c r="C236" s="53" t="s">
        <v>37</v>
      </c>
      <c r="D236" s="55" t="s">
        <v>1071</v>
      </c>
      <c r="E236" s="53">
        <v>56</v>
      </c>
      <c r="F236" s="56" t="s">
        <v>1072</v>
      </c>
      <c r="G236" s="57" t="s">
        <v>78</v>
      </c>
      <c r="H236" s="58">
        <v>1500000</v>
      </c>
      <c r="I236" s="59"/>
      <c r="J236" s="60" t="s">
        <v>2459</v>
      </c>
      <c r="K236" s="80" t="s">
        <v>2459</v>
      </c>
      <c r="L236" s="62"/>
      <c r="M236" s="64"/>
      <c r="N236" s="65"/>
      <c r="O236" s="65"/>
      <c r="P236" s="65"/>
      <c r="Q236" s="65"/>
      <c r="R236" s="65"/>
      <c r="S236" s="65"/>
      <c r="T236" s="67">
        <v>15</v>
      </c>
      <c r="U236" s="67">
        <v>2569</v>
      </c>
      <c r="V236" s="68" t="s">
        <v>2216</v>
      </c>
      <c r="W236" s="69" t="e">
        <v>#REF!</v>
      </c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</row>
    <row r="237" spans="1:39">
      <c r="A237" s="50"/>
      <c r="B237" s="52">
        <v>6110</v>
      </c>
      <c r="C237" s="53" t="s">
        <v>37</v>
      </c>
      <c r="D237" s="55" t="s">
        <v>1073</v>
      </c>
      <c r="E237" s="53">
        <v>55</v>
      </c>
      <c r="F237" s="56" t="s">
        <v>1074</v>
      </c>
      <c r="G237" s="57" t="s">
        <v>78</v>
      </c>
      <c r="H237" s="58">
        <v>1350000</v>
      </c>
      <c r="I237" s="59"/>
      <c r="J237" s="60" t="s">
        <v>2459</v>
      </c>
      <c r="K237" s="80" t="s">
        <v>2459</v>
      </c>
      <c r="L237" s="62"/>
      <c r="M237" s="64"/>
      <c r="N237" s="65"/>
      <c r="O237" s="65"/>
      <c r="P237" s="65"/>
      <c r="Q237" s="65"/>
      <c r="R237" s="65"/>
      <c r="S237" s="65"/>
      <c r="T237" s="67">
        <v>15</v>
      </c>
      <c r="U237" s="67">
        <v>2568</v>
      </c>
      <c r="V237" s="68" t="s">
        <v>2216</v>
      </c>
      <c r="W237" s="69" t="e">
        <v>#REF!</v>
      </c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</row>
    <row r="238" spans="1:39">
      <c r="A238" s="50"/>
      <c r="B238" s="52">
        <v>6110</v>
      </c>
      <c r="C238" s="53" t="s">
        <v>37</v>
      </c>
      <c r="D238" s="55" t="s">
        <v>1075</v>
      </c>
      <c r="E238" s="53">
        <v>57</v>
      </c>
      <c r="F238" s="56" t="s">
        <v>1076</v>
      </c>
      <c r="G238" s="57" t="s">
        <v>78</v>
      </c>
      <c r="H238" s="58">
        <v>1050000</v>
      </c>
      <c r="I238" s="59"/>
      <c r="J238" s="60" t="s">
        <v>2459</v>
      </c>
      <c r="K238" s="80" t="s">
        <v>2459</v>
      </c>
      <c r="L238" s="62"/>
      <c r="M238" s="64"/>
      <c r="N238" s="65"/>
      <c r="O238" s="65"/>
      <c r="P238" s="65"/>
      <c r="Q238" s="65"/>
      <c r="R238" s="65"/>
      <c r="S238" s="65"/>
      <c r="T238" s="67">
        <v>15</v>
      </c>
      <c r="U238" s="67">
        <v>2570</v>
      </c>
      <c r="V238" s="68" t="s">
        <v>2216</v>
      </c>
      <c r="W238" s="69" t="e">
        <v>#REF!</v>
      </c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</row>
    <row r="239" spans="1:39">
      <c r="A239" s="50"/>
      <c r="B239" s="52">
        <v>6115</v>
      </c>
      <c r="C239" s="53" t="s">
        <v>37</v>
      </c>
      <c r="D239" s="55" t="s">
        <v>1077</v>
      </c>
      <c r="E239" s="53">
        <v>58</v>
      </c>
      <c r="F239" s="56" t="s">
        <v>1078</v>
      </c>
      <c r="G239" s="57" t="s">
        <v>78</v>
      </c>
      <c r="H239" s="58">
        <v>260000</v>
      </c>
      <c r="I239" s="59"/>
      <c r="J239" s="60" t="s">
        <v>2460</v>
      </c>
      <c r="K239" s="80" t="s">
        <v>2460</v>
      </c>
      <c r="L239" s="62"/>
      <c r="M239" s="64"/>
      <c r="N239" s="65"/>
      <c r="O239" s="65"/>
      <c r="P239" s="65"/>
      <c r="Q239" s="65"/>
      <c r="R239" s="65"/>
      <c r="S239" s="65"/>
      <c r="T239" s="67" t="s">
        <v>1079</v>
      </c>
      <c r="U239" s="67">
        <v>2571</v>
      </c>
      <c r="V239" s="68" t="s">
        <v>2216</v>
      </c>
      <c r="W239" s="69" t="e">
        <v>#REF!</v>
      </c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</row>
    <row r="240" spans="1:39">
      <c r="A240" s="50"/>
      <c r="B240" s="52">
        <v>6115</v>
      </c>
      <c r="C240" s="53" t="s">
        <v>37</v>
      </c>
      <c r="D240" s="55" t="s">
        <v>1080</v>
      </c>
      <c r="E240" s="53">
        <v>60</v>
      </c>
      <c r="F240" s="56" t="s">
        <v>782</v>
      </c>
      <c r="G240" s="57" t="s">
        <v>78</v>
      </c>
      <c r="H240" s="58">
        <v>670000</v>
      </c>
      <c r="I240" s="59"/>
      <c r="J240" s="60" t="s">
        <v>2460</v>
      </c>
      <c r="K240" s="61"/>
      <c r="L240" s="62"/>
      <c r="M240" s="64"/>
      <c r="N240" s="65"/>
      <c r="O240" s="65"/>
      <c r="P240" s="65"/>
      <c r="Q240" s="65"/>
      <c r="R240" s="65"/>
      <c r="S240" s="65"/>
      <c r="T240" s="67"/>
      <c r="U240" s="67">
        <v>2558</v>
      </c>
      <c r="V240" s="68" t="s">
        <v>2216</v>
      </c>
      <c r="W240" s="69" t="e">
        <v>#REF!</v>
      </c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</row>
    <row r="241" spans="1:39">
      <c r="A241" s="50"/>
      <c r="B241" s="52">
        <v>6115</v>
      </c>
      <c r="C241" s="53" t="s">
        <v>37</v>
      </c>
      <c r="D241" s="55" t="s">
        <v>1083</v>
      </c>
      <c r="E241" s="53">
        <v>60</v>
      </c>
      <c r="F241" s="56" t="s">
        <v>1084</v>
      </c>
      <c r="G241" s="57" t="s">
        <v>78</v>
      </c>
      <c r="H241" s="58">
        <v>758000</v>
      </c>
      <c r="I241" s="59"/>
      <c r="J241" s="60" t="s">
        <v>2460</v>
      </c>
      <c r="K241" s="61"/>
      <c r="L241" s="62"/>
      <c r="M241" s="64"/>
      <c r="N241" s="65"/>
      <c r="O241" s="65"/>
      <c r="P241" s="65"/>
      <c r="Q241" s="65"/>
      <c r="R241" s="65"/>
      <c r="S241" s="65"/>
      <c r="T241" s="67"/>
      <c r="U241" s="67">
        <v>2558</v>
      </c>
      <c r="V241" s="68" t="s">
        <v>2216</v>
      </c>
      <c r="W241" s="69" t="e">
        <v>#REF!</v>
      </c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</row>
    <row r="242" spans="1:39">
      <c r="A242" s="50"/>
      <c r="B242" s="52">
        <v>6115</v>
      </c>
      <c r="C242" s="53" t="s">
        <v>37</v>
      </c>
      <c r="D242" s="55" t="s">
        <v>1088</v>
      </c>
      <c r="E242" s="53">
        <v>57</v>
      </c>
      <c r="F242" s="56" t="s">
        <v>1089</v>
      </c>
      <c r="G242" s="57" t="s">
        <v>78</v>
      </c>
      <c r="H242" s="58">
        <v>13000</v>
      </c>
      <c r="I242" s="59"/>
      <c r="J242" s="60" t="s">
        <v>2460</v>
      </c>
      <c r="K242" s="80" t="s">
        <v>2460</v>
      </c>
      <c r="L242" s="62"/>
      <c r="M242" s="64"/>
      <c r="N242" s="65"/>
      <c r="O242" s="65"/>
      <c r="P242" s="65"/>
      <c r="Q242" s="65"/>
      <c r="R242" s="65"/>
      <c r="S242" s="65"/>
      <c r="T242" s="67">
        <v>15</v>
      </c>
      <c r="U242" s="67">
        <v>2567</v>
      </c>
      <c r="V242" s="68" t="s">
        <v>2216</v>
      </c>
      <c r="W242" s="69" t="e">
        <v>#REF!</v>
      </c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</row>
    <row r="243" spans="1:39">
      <c r="A243" s="50"/>
      <c r="B243" s="52">
        <v>6115</v>
      </c>
      <c r="C243" s="53" t="s">
        <v>37</v>
      </c>
      <c r="D243" s="55" t="s">
        <v>1085</v>
      </c>
      <c r="E243" s="53">
        <v>54</v>
      </c>
      <c r="F243" s="56" t="s">
        <v>1086</v>
      </c>
      <c r="G243" s="57" t="s">
        <v>78</v>
      </c>
      <c r="H243" s="58">
        <v>150000</v>
      </c>
      <c r="I243" s="59"/>
      <c r="J243" s="60" t="s">
        <v>2460</v>
      </c>
      <c r="K243" s="80" t="s">
        <v>2460</v>
      </c>
      <c r="L243" s="62"/>
      <c r="M243" s="64"/>
      <c r="N243" s="65"/>
      <c r="O243" s="65"/>
      <c r="P243" s="65"/>
      <c r="Q243" s="65"/>
      <c r="R243" s="65"/>
      <c r="S243" s="65"/>
      <c r="T243" s="67"/>
      <c r="U243" s="67"/>
      <c r="V243" s="68"/>
      <c r="W243" s="69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</row>
    <row r="244" spans="1:39">
      <c r="A244" s="50"/>
      <c r="B244" s="52">
        <v>6115</v>
      </c>
      <c r="C244" s="53" t="s">
        <v>37</v>
      </c>
      <c r="D244" s="55" t="s">
        <v>1090</v>
      </c>
      <c r="E244" s="53">
        <v>58</v>
      </c>
      <c r="F244" s="56" t="s">
        <v>1091</v>
      </c>
      <c r="G244" s="57" t="s">
        <v>78</v>
      </c>
      <c r="H244" s="58">
        <v>1400000</v>
      </c>
      <c r="I244" s="59"/>
      <c r="J244" s="60" t="s">
        <v>2460</v>
      </c>
      <c r="K244" s="80" t="s">
        <v>2460</v>
      </c>
      <c r="L244" s="62"/>
      <c r="M244" s="64"/>
      <c r="N244" s="65"/>
      <c r="O244" s="65"/>
      <c r="P244" s="65"/>
      <c r="Q244" s="65"/>
      <c r="R244" s="65"/>
      <c r="S244" s="65"/>
      <c r="T244" s="67">
        <v>15</v>
      </c>
      <c r="U244" s="67">
        <v>2570</v>
      </c>
      <c r="V244" s="68" t="s">
        <v>2216</v>
      </c>
      <c r="W244" s="69" t="e">
        <v>#REF!</v>
      </c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</row>
    <row r="245" spans="1:39">
      <c r="A245" s="50"/>
      <c r="B245" s="52">
        <v>6115</v>
      </c>
      <c r="C245" s="53" t="s">
        <v>37</v>
      </c>
      <c r="D245" s="55" t="s">
        <v>1092</v>
      </c>
      <c r="E245" s="53">
        <v>58</v>
      </c>
      <c r="F245" s="56" t="s">
        <v>1093</v>
      </c>
      <c r="G245" s="57" t="s">
        <v>78</v>
      </c>
      <c r="H245" s="58" t="s">
        <v>1094</v>
      </c>
      <c r="I245" s="59"/>
      <c r="J245" s="60" t="s">
        <v>2460</v>
      </c>
      <c r="K245" s="80" t="s">
        <v>2460</v>
      </c>
      <c r="L245" s="62"/>
      <c r="M245" s="64"/>
      <c r="N245" s="65"/>
      <c r="O245" s="65"/>
      <c r="P245" s="65"/>
      <c r="Q245" s="65"/>
      <c r="R245" s="65"/>
      <c r="S245" s="65"/>
      <c r="T245" s="67">
        <v>15</v>
      </c>
      <c r="U245" s="67">
        <v>2571</v>
      </c>
      <c r="V245" s="68" t="s">
        <v>2216</v>
      </c>
      <c r="W245" s="69" t="e">
        <v>#REF!</v>
      </c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</row>
    <row r="246" spans="1:39">
      <c r="A246" s="50"/>
      <c r="B246" s="52">
        <v>6115</v>
      </c>
      <c r="C246" s="53" t="s">
        <v>37</v>
      </c>
      <c r="D246" s="55" t="s">
        <v>1095</v>
      </c>
      <c r="E246" s="53">
        <v>58</v>
      </c>
      <c r="F246" s="56" t="s">
        <v>1096</v>
      </c>
      <c r="G246" s="57" t="s">
        <v>78</v>
      </c>
      <c r="H246" s="58">
        <v>1250000</v>
      </c>
      <c r="I246" s="59"/>
      <c r="J246" s="60" t="s">
        <v>2460</v>
      </c>
      <c r="K246" s="80" t="s">
        <v>2460</v>
      </c>
      <c r="L246" s="62"/>
      <c r="M246" s="64"/>
      <c r="N246" s="65"/>
      <c r="O246" s="65"/>
      <c r="P246" s="65"/>
      <c r="Q246" s="65"/>
      <c r="R246" s="65"/>
      <c r="S246" s="65"/>
      <c r="T246" s="67">
        <v>15</v>
      </c>
      <c r="U246" s="67">
        <v>2571</v>
      </c>
      <c r="V246" s="68" t="s">
        <v>2216</v>
      </c>
      <c r="W246" s="69" t="e">
        <v>#REF!</v>
      </c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</row>
    <row r="247" spans="1:39">
      <c r="A247" s="50"/>
      <c r="B247" s="52">
        <v>6115</v>
      </c>
      <c r="C247" s="53" t="s">
        <v>37</v>
      </c>
      <c r="D247" s="55" t="s">
        <v>1099</v>
      </c>
      <c r="E247" s="53">
        <v>55</v>
      </c>
      <c r="F247" s="56" t="s">
        <v>1100</v>
      </c>
      <c r="G247" s="57" t="s">
        <v>78</v>
      </c>
      <c r="H247" s="58">
        <v>27500</v>
      </c>
      <c r="I247" s="59"/>
      <c r="J247" s="60" t="s">
        <v>2460</v>
      </c>
      <c r="K247" s="80" t="s">
        <v>2460</v>
      </c>
      <c r="L247" s="62"/>
      <c r="M247" s="64"/>
      <c r="N247" s="65"/>
      <c r="O247" s="65"/>
      <c r="P247" s="65"/>
      <c r="Q247" s="65"/>
      <c r="R247" s="65"/>
      <c r="S247" s="65"/>
      <c r="T247" s="67">
        <v>15</v>
      </c>
      <c r="U247" s="67">
        <v>2571</v>
      </c>
      <c r="V247" s="68" t="s">
        <v>2216</v>
      </c>
      <c r="W247" s="69" t="e">
        <v>#REF!</v>
      </c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</row>
    <row r="248" spans="1:39">
      <c r="A248" s="50"/>
      <c r="B248" s="52">
        <v>6115</v>
      </c>
      <c r="C248" s="53" t="s">
        <v>37</v>
      </c>
      <c r="D248" s="55" t="s">
        <v>1107</v>
      </c>
      <c r="E248" s="53">
        <v>61</v>
      </c>
      <c r="F248" s="56" t="s">
        <v>787</v>
      </c>
      <c r="G248" s="57" t="s">
        <v>78</v>
      </c>
      <c r="H248" s="58">
        <v>57500</v>
      </c>
      <c r="I248" s="59"/>
      <c r="J248" s="60" t="s">
        <v>2460</v>
      </c>
      <c r="K248" s="61"/>
      <c r="L248" s="62"/>
      <c r="M248" s="64"/>
      <c r="N248" s="65"/>
      <c r="O248" s="65"/>
      <c r="P248" s="65"/>
      <c r="Q248" s="65"/>
      <c r="R248" s="65"/>
      <c r="S248" s="65"/>
      <c r="T248" s="67">
        <v>15</v>
      </c>
      <c r="U248" s="67">
        <v>2567</v>
      </c>
      <c r="V248" s="68" t="s">
        <v>2216</v>
      </c>
      <c r="W248" s="69" t="e">
        <v>#REF!</v>
      </c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</row>
    <row r="249" spans="1:39">
      <c r="A249" s="50"/>
      <c r="B249" s="52">
        <v>6115</v>
      </c>
      <c r="C249" s="53" t="s">
        <v>37</v>
      </c>
      <c r="D249" s="55" t="s">
        <v>1097</v>
      </c>
      <c r="E249" s="53">
        <v>54</v>
      </c>
      <c r="F249" s="56" t="s">
        <v>1098</v>
      </c>
      <c r="G249" s="57" t="s">
        <v>78</v>
      </c>
      <c r="H249" s="58">
        <v>385000</v>
      </c>
      <c r="I249" s="59"/>
      <c r="J249" s="60" t="s">
        <v>2460</v>
      </c>
      <c r="K249" s="80" t="s">
        <v>2460</v>
      </c>
      <c r="L249" s="62"/>
      <c r="M249" s="64"/>
      <c r="N249" s="65"/>
      <c r="O249" s="65"/>
      <c r="P249" s="65"/>
      <c r="Q249" s="65"/>
      <c r="R249" s="65"/>
      <c r="S249" s="65"/>
      <c r="T249" s="67">
        <v>15</v>
      </c>
      <c r="U249" s="67">
        <v>2568</v>
      </c>
      <c r="V249" s="68" t="s">
        <v>2216</v>
      </c>
      <c r="W249" s="69" t="e">
        <v>#REF!</v>
      </c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</row>
    <row r="250" spans="1:39">
      <c r="A250" s="50"/>
      <c r="B250" s="52">
        <v>6115</v>
      </c>
      <c r="C250" s="53" t="s">
        <v>37</v>
      </c>
      <c r="D250" s="55" t="s">
        <v>1101</v>
      </c>
      <c r="E250" s="53">
        <v>53</v>
      </c>
      <c r="F250" s="56" t="s">
        <v>1102</v>
      </c>
      <c r="G250" s="57" t="s">
        <v>78</v>
      </c>
      <c r="H250" s="58">
        <v>2370000</v>
      </c>
      <c r="I250" s="59"/>
      <c r="J250" s="60" t="s">
        <v>2460</v>
      </c>
      <c r="K250" s="80" t="s">
        <v>2460</v>
      </c>
      <c r="L250" s="62"/>
      <c r="M250" s="64"/>
      <c r="N250" s="65"/>
      <c r="O250" s="65"/>
      <c r="P250" s="65"/>
      <c r="Q250" s="65"/>
      <c r="R250" s="65"/>
      <c r="S250" s="65"/>
      <c r="T250" s="67">
        <v>15</v>
      </c>
      <c r="U250" s="67">
        <v>2566</v>
      </c>
      <c r="V250" s="68" t="s">
        <v>2216</v>
      </c>
      <c r="W250" s="69" t="e">
        <v>#REF!</v>
      </c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</row>
    <row r="251" spans="1:39">
      <c r="A251" s="50"/>
      <c r="B251" s="52">
        <v>6115</v>
      </c>
      <c r="C251" s="53" t="s">
        <v>37</v>
      </c>
      <c r="D251" s="55" t="s">
        <v>1103</v>
      </c>
      <c r="E251" s="53">
        <v>53</v>
      </c>
      <c r="F251" s="56" t="s">
        <v>1104</v>
      </c>
      <c r="G251" s="57" t="s">
        <v>78</v>
      </c>
      <c r="H251" s="58">
        <v>3350000</v>
      </c>
      <c r="I251" s="59"/>
      <c r="J251" s="60" t="s">
        <v>2460</v>
      </c>
      <c r="K251" s="80" t="s">
        <v>2460</v>
      </c>
      <c r="L251" s="62"/>
      <c r="M251" s="64"/>
      <c r="N251" s="65"/>
      <c r="O251" s="65"/>
      <c r="P251" s="65"/>
      <c r="Q251" s="65"/>
      <c r="R251" s="65"/>
      <c r="S251" s="65"/>
      <c r="T251" s="67">
        <v>15</v>
      </c>
      <c r="U251" s="67">
        <v>2566</v>
      </c>
      <c r="V251" s="68" t="s">
        <v>2216</v>
      </c>
      <c r="W251" s="69" t="e">
        <v>#REF!</v>
      </c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</row>
    <row r="252" spans="1:39">
      <c r="A252" s="50"/>
      <c r="B252" s="52">
        <v>6115</v>
      </c>
      <c r="C252" s="53" t="s">
        <v>37</v>
      </c>
      <c r="D252" s="55" t="s">
        <v>1108</v>
      </c>
      <c r="E252" s="53">
        <v>59</v>
      </c>
      <c r="F252" s="56" t="s">
        <v>1109</v>
      </c>
      <c r="G252" s="57" t="s">
        <v>78</v>
      </c>
      <c r="H252" s="58">
        <v>8000000</v>
      </c>
      <c r="I252" s="59"/>
      <c r="J252" s="60" t="s">
        <v>2460</v>
      </c>
      <c r="K252" s="61"/>
      <c r="L252" s="62"/>
      <c r="M252" s="64"/>
      <c r="N252" s="65"/>
      <c r="O252" s="65"/>
      <c r="P252" s="65"/>
      <c r="Q252" s="65"/>
      <c r="R252" s="65"/>
      <c r="S252" s="65"/>
      <c r="T252" s="67"/>
      <c r="U252" s="67">
        <v>2557</v>
      </c>
      <c r="V252" s="68" t="s">
        <v>2216</v>
      </c>
      <c r="W252" s="69" t="e">
        <v>#REF!</v>
      </c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</row>
    <row r="253" spans="1:39">
      <c r="A253" s="50"/>
      <c r="B253" s="52">
        <v>6115</v>
      </c>
      <c r="C253" s="53" t="s">
        <v>37</v>
      </c>
      <c r="D253" s="55" t="s">
        <v>1115</v>
      </c>
      <c r="E253" s="53">
        <v>60</v>
      </c>
      <c r="F253" s="56" t="s">
        <v>1116</v>
      </c>
      <c r="G253" s="57" t="s">
        <v>78</v>
      </c>
      <c r="H253" s="58">
        <v>20000</v>
      </c>
      <c r="I253" s="59"/>
      <c r="J253" s="60" t="s">
        <v>2460</v>
      </c>
      <c r="K253" s="61"/>
      <c r="L253" s="62"/>
      <c r="M253" s="64"/>
      <c r="N253" s="65"/>
      <c r="O253" s="65"/>
      <c r="P253" s="65"/>
      <c r="Q253" s="65"/>
      <c r="R253" s="65"/>
      <c r="S253" s="65"/>
      <c r="T253" s="67"/>
      <c r="U253" s="67">
        <v>2558</v>
      </c>
      <c r="V253" s="68" t="s">
        <v>2216</v>
      </c>
      <c r="W253" s="69" t="e">
        <v>#REF!</v>
      </c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</row>
    <row r="254" spans="1:39">
      <c r="A254" s="50"/>
      <c r="B254" s="52">
        <v>6125</v>
      </c>
      <c r="C254" s="53" t="s">
        <v>372</v>
      </c>
      <c r="D254" s="55" t="s">
        <v>1120</v>
      </c>
      <c r="E254" s="53">
        <v>54</v>
      </c>
      <c r="F254" s="56" t="s">
        <v>1121</v>
      </c>
      <c r="G254" s="57" t="s">
        <v>78</v>
      </c>
      <c r="H254" s="58">
        <v>125000</v>
      </c>
      <c r="I254" s="59"/>
      <c r="J254" s="60" t="s">
        <v>2462</v>
      </c>
      <c r="K254" s="80" t="s">
        <v>2462</v>
      </c>
      <c r="L254" s="62">
        <v>6125356815196</v>
      </c>
      <c r="M254" s="64"/>
      <c r="N254" s="65"/>
      <c r="O254" s="65"/>
      <c r="P254" s="65"/>
      <c r="Q254" s="65"/>
      <c r="R254" s="65"/>
      <c r="S254" s="65"/>
      <c r="T254" s="67">
        <v>15</v>
      </c>
      <c r="U254" s="67">
        <v>2567</v>
      </c>
      <c r="V254" s="68" t="s">
        <v>2216</v>
      </c>
      <c r="W254" s="69" t="e">
        <v>#REF!</v>
      </c>
      <c r="X254" s="70" t="s">
        <v>548</v>
      </c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</row>
    <row r="255" spans="1:39">
      <c r="A255" s="50"/>
      <c r="B255" s="52">
        <v>6125</v>
      </c>
      <c r="C255" s="53" t="s">
        <v>372</v>
      </c>
      <c r="D255" s="55" t="s">
        <v>1125</v>
      </c>
      <c r="E255" s="53">
        <v>54</v>
      </c>
      <c r="F255" s="56" t="s">
        <v>1126</v>
      </c>
      <c r="G255" s="57" t="s">
        <v>78</v>
      </c>
      <c r="H255" s="58">
        <v>72000</v>
      </c>
      <c r="I255" s="59"/>
      <c r="J255" s="60" t="s">
        <v>2462</v>
      </c>
      <c r="K255" s="80" t="s">
        <v>2462</v>
      </c>
      <c r="L255" s="62"/>
      <c r="M255" s="64"/>
      <c r="N255" s="65"/>
      <c r="O255" s="65"/>
      <c r="P255" s="65"/>
      <c r="Q255" s="65"/>
      <c r="R255" s="65"/>
      <c r="S255" s="65"/>
      <c r="T255" s="67">
        <v>15</v>
      </c>
      <c r="U255" s="67">
        <v>2567</v>
      </c>
      <c r="V255" s="68" t="s">
        <v>2216</v>
      </c>
      <c r="W255" s="69" t="e">
        <v>#REF!</v>
      </c>
      <c r="X255" s="70" t="s">
        <v>548</v>
      </c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</row>
    <row r="256" spans="1:39">
      <c r="A256" s="50"/>
      <c r="B256" s="52">
        <v>6125</v>
      </c>
      <c r="C256" s="53" t="s">
        <v>37</v>
      </c>
      <c r="D256" s="55" t="s">
        <v>1127</v>
      </c>
      <c r="E256" s="53">
        <v>61</v>
      </c>
      <c r="F256" s="56" t="s">
        <v>1128</v>
      </c>
      <c r="G256" s="57" t="s">
        <v>78</v>
      </c>
      <c r="H256" s="58">
        <v>1150000</v>
      </c>
      <c r="I256" s="59"/>
      <c r="J256" s="60" t="s">
        <v>2462</v>
      </c>
      <c r="K256" s="61"/>
      <c r="L256" s="62"/>
      <c r="M256" s="64"/>
      <c r="N256" s="65"/>
      <c r="O256" s="65"/>
      <c r="P256" s="65"/>
      <c r="Q256" s="65"/>
      <c r="R256" s="65"/>
      <c r="S256" s="65"/>
      <c r="T256" s="67"/>
      <c r="U256" s="67"/>
      <c r="V256" s="68" t="s">
        <v>2216</v>
      </c>
      <c r="W256" s="69" t="e">
        <v>#REF!</v>
      </c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</row>
    <row r="257" spans="1:39">
      <c r="A257" s="50"/>
      <c r="B257" s="52">
        <v>6125</v>
      </c>
      <c r="C257" s="53" t="s">
        <v>37</v>
      </c>
      <c r="D257" s="55" t="s">
        <v>1129</v>
      </c>
      <c r="E257" s="53">
        <v>61</v>
      </c>
      <c r="F257" s="56" t="s">
        <v>1130</v>
      </c>
      <c r="G257" s="57" t="s">
        <v>78</v>
      </c>
      <c r="H257" s="58">
        <v>850000</v>
      </c>
      <c r="I257" s="59"/>
      <c r="J257" s="60" t="s">
        <v>2462</v>
      </c>
      <c r="K257" s="61"/>
      <c r="L257" s="62"/>
      <c r="M257" s="64"/>
      <c r="N257" s="65"/>
      <c r="O257" s="65"/>
      <c r="P257" s="65"/>
      <c r="Q257" s="65"/>
      <c r="R257" s="65"/>
      <c r="S257" s="65"/>
      <c r="T257" s="67"/>
      <c r="U257" s="67"/>
      <c r="V257" s="68" t="s">
        <v>2216</v>
      </c>
      <c r="W257" s="69" t="e">
        <v>#REF!</v>
      </c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  <c r="AM257" s="70"/>
    </row>
    <row r="258" spans="1:39">
      <c r="A258" s="50"/>
      <c r="B258" s="52">
        <v>6125</v>
      </c>
      <c r="C258" s="53" t="s">
        <v>372</v>
      </c>
      <c r="D258" s="55" t="s">
        <v>1131</v>
      </c>
      <c r="E258" s="53">
        <v>53</v>
      </c>
      <c r="F258" s="56" t="s">
        <v>1132</v>
      </c>
      <c r="G258" s="57" t="s">
        <v>78</v>
      </c>
      <c r="H258" s="58">
        <v>250000</v>
      </c>
      <c r="I258" s="59"/>
      <c r="J258" s="60" t="s">
        <v>2462</v>
      </c>
      <c r="K258" s="80" t="s">
        <v>2462</v>
      </c>
      <c r="L258" s="62">
        <v>6125356815198</v>
      </c>
      <c r="M258" s="64"/>
      <c r="N258" s="65"/>
      <c r="O258" s="65"/>
      <c r="P258" s="65"/>
      <c r="Q258" s="65"/>
      <c r="R258" s="65"/>
      <c r="S258" s="65"/>
      <c r="T258" s="67">
        <v>15</v>
      </c>
      <c r="U258" s="67">
        <v>2566</v>
      </c>
      <c r="V258" s="68" t="s">
        <v>2216</v>
      </c>
      <c r="W258" s="69" t="e">
        <v>#REF!</v>
      </c>
      <c r="X258" s="70" t="s">
        <v>548</v>
      </c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</row>
    <row r="259" spans="1:39">
      <c r="A259" s="50"/>
      <c r="B259" s="52">
        <v>6125</v>
      </c>
      <c r="C259" s="53" t="s">
        <v>372</v>
      </c>
      <c r="D259" s="55" t="s">
        <v>1133</v>
      </c>
      <c r="E259" s="53">
        <v>53</v>
      </c>
      <c r="F259" s="56" t="s">
        <v>1134</v>
      </c>
      <c r="G259" s="57" t="s">
        <v>78</v>
      </c>
      <c r="H259" s="58">
        <v>80000</v>
      </c>
      <c r="I259" s="59"/>
      <c r="J259" s="60" t="s">
        <v>2462</v>
      </c>
      <c r="K259" s="80" t="s">
        <v>2462</v>
      </c>
      <c r="L259" s="62"/>
      <c r="M259" s="64"/>
      <c r="N259" s="65"/>
      <c r="O259" s="65"/>
      <c r="P259" s="65"/>
      <c r="Q259" s="65"/>
      <c r="R259" s="65"/>
      <c r="S259" s="65"/>
      <c r="T259" s="67">
        <v>15</v>
      </c>
      <c r="U259" s="67">
        <v>2566</v>
      </c>
      <c r="V259" s="68" t="s">
        <v>2216</v>
      </c>
      <c r="W259" s="69" t="e">
        <v>#REF!</v>
      </c>
      <c r="X259" s="70" t="s">
        <v>548</v>
      </c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</row>
    <row r="260" spans="1:39">
      <c r="A260" s="50"/>
      <c r="B260" s="52">
        <v>6125</v>
      </c>
      <c r="C260" s="53" t="s">
        <v>37</v>
      </c>
      <c r="D260" s="55" t="s">
        <v>1135</v>
      </c>
      <c r="E260" s="53">
        <v>55</v>
      </c>
      <c r="F260" s="56" t="s">
        <v>1136</v>
      </c>
      <c r="G260" s="57" t="s">
        <v>78</v>
      </c>
      <c r="H260" s="58">
        <v>1800000</v>
      </c>
      <c r="I260" s="59"/>
      <c r="J260" s="60" t="s">
        <v>2462</v>
      </c>
      <c r="K260" s="80" t="s">
        <v>2462</v>
      </c>
      <c r="L260" s="62"/>
      <c r="M260" s="64"/>
      <c r="N260" s="65"/>
      <c r="O260" s="65"/>
      <c r="P260" s="65"/>
      <c r="Q260" s="65"/>
      <c r="R260" s="65"/>
      <c r="S260" s="65"/>
      <c r="T260" s="67">
        <v>15</v>
      </c>
      <c r="U260" s="67">
        <v>2568</v>
      </c>
      <c r="V260" s="68" t="s">
        <v>2216</v>
      </c>
      <c r="W260" s="69" t="e">
        <v>#REF!</v>
      </c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</row>
    <row r="261" spans="1:39">
      <c r="A261" s="50"/>
      <c r="B261" s="52">
        <v>6125</v>
      </c>
      <c r="C261" s="53" t="s">
        <v>37</v>
      </c>
      <c r="D261" s="55" t="s">
        <v>1137</v>
      </c>
      <c r="E261" s="53">
        <v>55</v>
      </c>
      <c r="F261" s="56" t="s">
        <v>1138</v>
      </c>
      <c r="G261" s="57" t="s">
        <v>78</v>
      </c>
      <c r="H261" s="58">
        <v>2500000</v>
      </c>
      <c r="I261" s="59"/>
      <c r="J261" s="60" t="s">
        <v>2462</v>
      </c>
      <c r="K261" s="80" t="s">
        <v>2462</v>
      </c>
      <c r="L261" s="62"/>
      <c r="M261" s="64"/>
      <c r="N261" s="65"/>
      <c r="O261" s="65"/>
      <c r="P261" s="65"/>
      <c r="Q261" s="65"/>
      <c r="R261" s="65"/>
      <c r="S261" s="65"/>
      <c r="T261" s="67">
        <v>15</v>
      </c>
      <c r="U261" s="67">
        <v>2568</v>
      </c>
      <c r="V261" s="68" t="s">
        <v>2216</v>
      </c>
      <c r="W261" s="69" t="e">
        <v>#REF!</v>
      </c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</row>
    <row r="262" spans="1:39">
      <c r="A262" s="50"/>
      <c r="B262" s="52">
        <v>6130</v>
      </c>
      <c r="C262" s="53" t="s">
        <v>157</v>
      </c>
      <c r="D262" s="55" t="s">
        <v>1139</v>
      </c>
      <c r="E262" s="53">
        <v>56</v>
      </c>
      <c r="F262" s="56" t="s">
        <v>1140</v>
      </c>
      <c r="G262" s="57" t="s">
        <v>78</v>
      </c>
      <c r="H262" s="58">
        <v>9500</v>
      </c>
      <c r="I262" s="59"/>
      <c r="J262" s="60" t="s">
        <v>2464</v>
      </c>
      <c r="K262" s="80" t="s">
        <v>2464</v>
      </c>
      <c r="L262" s="62"/>
      <c r="M262" s="64"/>
      <c r="N262" s="65"/>
      <c r="O262" s="65"/>
      <c r="P262" s="65"/>
      <c r="Q262" s="65"/>
      <c r="R262" s="65"/>
      <c r="S262" s="65"/>
      <c r="T262" s="67">
        <v>15</v>
      </c>
      <c r="U262" s="67">
        <v>2569</v>
      </c>
      <c r="V262" s="68" t="s">
        <v>2216</v>
      </c>
      <c r="W262" s="69" t="e">
        <v>#REF!</v>
      </c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</row>
    <row r="263" spans="1:39">
      <c r="A263" s="50"/>
      <c r="B263" s="52">
        <v>6130</v>
      </c>
      <c r="C263" s="53" t="s">
        <v>157</v>
      </c>
      <c r="D263" s="55" t="s">
        <v>1141</v>
      </c>
      <c r="E263" s="53">
        <v>54</v>
      </c>
      <c r="F263" s="56" t="s">
        <v>1142</v>
      </c>
      <c r="G263" s="57" t="s">
        <v>78</v>
      </c>
      <c r="H263" s="58">
        <v>12500</v>
      </c>
      <c r="I263" s="59"/>
      <c r="J263" s="60" t="s">
        <v>2464</v>
      </c>
      <c r="K263" s="80" t="s">
        <v>2464</v>
      </c>
      <c r="L263" s="62"/>
      <c r="M263" s="64"/>
      <c r="N263" s="65"/>
      <c r="O263" s="65"/>
      <c r="P263" s="65"/>
      <c r="Q263" s="65"/>
      <c r="R263" s="65"/>
      <c r="S263" s="65"/>
      <c r="T263" s="67">
        <v>15</v>
      </c>
      <c r="U263" s="67">
        <v>2567</v>
      </c>
      <c r="V263" s="68" t="s">
        <v>2216</v>
      </c>
      <c r="W263" s="69" t="e">
        <v>#REF!</v>
      </c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</row>
    <row r="264" spans="1:39">
      <c r="A264" s="50"/>
      <c r="B264" s="52">
        <v>6130</v>
      </c>
      <c r="C264" s="53" t="s">
        <v>372</v>
      </c>
      <c r="D264" s="55" t="s">
        <v>1143</v>
      </c>
      <c r="E264" s="53">
        <v>56</v>
      </c>
      <c r="F264" s="56" t="s">
        <v>1144</v>
      </c>
      <c r="G264" s="57" t="s">
        <v>78</v>
      </c>
      <c r="H264" s="58">
        <v>27200</v>
      </c>
      <c r="I264" s="59"/>
      <c r="J264" s="60" t="s">
        <v>2464</v>
      </c>
      <c r="K264" s="80" t="s">
        <v>2464</v>
      </c>
      <c r="L264" s="62"/>
      <c r="M264" s="64"/>
      <c r="N264" s="65"/>
      <c r="O264" s="65"/>
      <c r="P264" s="65"/>
      <c r="Q264" s="65"/>
      <c r="R264" s="65"/>
      <c r="S264" s="65"/>
      <c r="T264" s="67"/>
      <c r="U264" s="67"/>
      <c r="V264" s="68"/>
      <c r="W264" s="69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</row>
    <row r="265" spans="1:39">
      <c r="A265" s="50"/>
      <c r="B265" s="52">
        <v>6130</v>
      </c>
      <c r="C265" s="53" t="s">
        <v>372</v>
      </c>
      <c r="D265" s="55" t="s">
        <v>1145</v>
      </c>
      <c r="E265" s="53">
        <v>56</v>
      </c>
      <c r="F265" s="56" t="s">
        <v>1146</v>
      </c>
      <c r="G265" s="57" t="s">
        <v>78</v>
      </c>
      <c r="H265" s="58">
        <v>13500</v>
      </c>
      <c r="I265" s="59"/>
      <c r="J265" s="60" t="s">
        <v>2464</v>
      </c>
      <c r="K265" s="80" t="s">
        <v>2464</v>
      </c>
      <c r="L265" s="62"/>
      <c r="M265" s="64"/>
      <c r="N265" s="65"/>
      <c r="O265" s="65"/>
      <c r="P265" s="65"/>
      <c r="Q265" s="65"/>
      <c r="R265" s="65"/>
      <c r="S265" s="65"/>
      <c r="T265" s="67">
        <v>15</v>
      </c>
      <c r="U265" s="67">
        <v>2569</v>
      </c>
      <c r="V265" s="68" t="s">
        <v>2216</v>
      </c>
      <c r="W265" s="69" t="e">
        <v>#REF!</v>
      </c>
      <c r="X265" s="70" t="s">
        <v>548</v>
      </c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</row>
    <row r="266" spans="1:39">
      <c r="A266" s="50"/>
      <c r="B266" s="52">
        <v>6150</v>
      </c>
      <c r="C266" s="53" t="s">
        <v>37</v>
      </c>
      <c r="D266" s="55" t="s">
        <v>1147</v>
      </c>
      <c r="E266" s="53">
        <v>58</v>
      </c>
      <c r="F266" s="56" t="s">
        <v>1148</v>
      </c>
      <c r="G266" s="57" t="s">
        <v>53</v>
      </c>
      <c r="H266" s="58"/>
      <c r="I266" s="59"/>
      <c r="J266" s="60" t="s">
        <v>2465</v>
      </c>
      <c r="K266" s="80" t="s">
        <v>2465</v>
      </c>
      <c r="L266" s="62"/>
      <c r="M266" s="64"/>
      <c r="N266" s="65"/>
      <c r="O266" s="65"/>
      <c r="P266" s="65"/>
      <c r="Q266" s="65"/>
      <c r="R266" s="65"/>
      <c r="S266" s="65"/>
      <c r="T266" s="67">
        <v>15</v>
      </c>
      <c r="U266" s="67">
        <v>2571</v>
      </c>
      <c r="V266" s="68" t="s">
        <v>2216</v>
      </c>
      <c r="W266" s="69" t="e">
        <v>#REF!</v>
      </c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</row>
    <row r="267" spans="1:39">
      <c r="A267" s="50"/>
      <c r="B267" s="52">
        <v>6150</v>
      </c>
      <c r="C267" s="53" t="s">
        <v>37</v>
      </c>
      <c r="D267" s="55" t="s">
        <v>1149</v>
      </c>
      <c r="E267" s="53">
        <v>58</v>
      </c>
      <c r="F267" s="56" t="s">
        <v>1150</v>
      </c>
      <c r="G267" s="57" t="s">
        <v>53</v>
      </c>
      <c r="H267" s="58">
        <v>390000</v>
      </c>
      <c r="I267" s="59"/>
      <c r="J267" s="60" t="s">
        <v>2465</v>
      </c>
      <c r="K267" s="80" t="s">
        <v>2465</v>
      </c>
      <c r="L267" s="62"/>
      <c r="M267" s="64"/>
      <c r="N267" s="65"/>
      <c r="O267" s="65"/>
      <c r="P267" s="65"/>
      <c r="Q267" s="65"/>
      <c r="R267" s="65"/>
      <c r="S267" s="65"/>
      <c r="T267" s="67">
        <v>15</v>
      </c>
      <c r="U267" s="67">
        <v>2571</v>
      </c>
      <c r="V267" s="68" t="s">
        <v>2216</v>
      </c>
      <c r="W267" s="69" t="e">
        <v>#REF!</v>
      </c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</row>
    <row r="268" spans="1:39">
      <c r="A268" s="50"/>
      <c r="B268" s="52">
        <v>6150</v>
      </c>
      <c r="C268" s="53" t="s">
        <v>37</v>
      </c>
      <c r="D268" s="55" t="s">
        <v>1151</v>
      </c>
      <c r="E268" s="53">
        <v>55</v>
      </c>
      <c r="F268" s="56" t="s">
        <v>1152</v>
      </c>
      <c r="G268" s="57" t="s">
        <v>78</v>
      </c>
      <c r="H268" s="58">
        <v>38000</v>
      </c>
      <c r="I268" s="59"/>
      <c r="J268" s="60" t="s">
        <v>2465</v>
      </c>
      <c r="K268" s="80" t="s">
        <v>2465</v>
      </c>
      <c r="L268" s="62"/>
      <c r="M268" s="64"/>
      <c r="N268" s="65"/>
      <c r="O268" s="65"/>
      <c r="P268" s="65"/>
      <c r="Q268" s="65"/>
      <c r="R268" s="65"/>
      <c r="S268" s="65"/>
      <c r="T268" s="67">
        <v>15</v>
      </c>
      <c r="U268" s="67">
        <v>2568</v>
      </c>
      <c r="V268" s="68" t="s">
        <v>2216</v>
      </c>
      <c r="W268" s="69" t="e">
        <v>#REF!</v>
      </c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</row>
    <row r="269" spans="1:39">
      <c r="A269" s="97"/>
      <c r="B269" s="97">
        <v>6200</v>
      </c>
      <c r="C269" s="89"/>
      <c r="D269" s="365" t="s">
        <v>4098</v>
      </c>
      <c r="E269" s="37"/>
      <c r="F269" s="97"/>
      <c r="G269" s="97"/>
      <c r="H269" s="97"/>
      <c r="I269" s="89"/>
      <c r="J269" s="89"/>
      <c r="K269" s="37"/>
      <c r="L269" s="37"/>
      <c r="M269" s="97"/>
      <c r="N269" s="97"/>
      <c r="O269" s="97"/>
      <c r="P269" s="89"/>
      <c r="Q269" s="89"/>
      <c r="R269" s="37"/>
      <c r="S269" s="37"/>
      <c r="T269" s="97"/>
      <c r="U269" s="97"/>
      <c r="V269" s="37" t="s">
        <v>2218</v>
      </c>
      <c r="W269" s="37">
        <v>6</v>
      </c>
      <c r="X269" s="89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</row>
    <row r="270" spans="1:39">
      <c r="A270" s="50"/>
      <c r="B270" s="52">
        <v>6210</v>
      </c>
      <c r="C270" s="53" t="s">
        <v>37</v>
      </c>
      <c r="D270" s="55" t="s">
        <v>1153</v>
      </c>
      <c r="E270" s="53">
        <v>58</v>
      </c>
      <c r="F270" s="56" t="s">
        <v>1154</v>
      </c>
      <c r="G270" s="57" t="s">
        <v>53</v>
      </c>
      <c r="H270" s="58">
        <v>25000</v>
      </c>
      <c r="I270" s="59"/>
      <c r="J270" s="60" t="s">
        <v>2466</v>
      </c>
      <c r="K270" s="80" t="s">
        <v>2466</v>
      </c>
      <c r="L270" s="62"/>
      <c r="M270" s="64"/>
      <c r="N270" s="65"/>
      <c r="O270" s="65"/>
      <c r="P270" s="65"/>
      <c r="Q270" s="65"/>
      <c r="R270" s="65"/>
      <c r="S270" s="65"/>
      <c r="T270" s="67">
        <v>15</v>
      </c>
      <c r="U270" s="67">
        <v>2571</v>
      </c>
      <c r="V270" s="68" t="s">
        <v>2218</v>
      </c>
      <c r="W270" s="69" t="e">
        <v>#REF!</v>
      </c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</row>
    <row r="271" spans="1:39">
      <c r="A271" s="50"/>
      <c r="B271" s="52">
        <v>6210</v>
      </c>
      <c r="C271" s="53" t="s">
        <v>37</v>
      </c>
      <c r="D271" s="55" t="s">
        <v>1155</v>
      </c>
      <c r="E271" s="53">
        <v>58</v>
      </c>
      <c r="F271" s="56" t="s">
        <v>1156</v>
      </c>
      <c r="G271" s="57" t="s">
        <v>53</v>
      </c>
      <c r="H271" s="58">
        <v>25000</v>
      </c>
      <c r="I271" s="59"/>
      <c r="J271" s="60" t="s">
        <v>2466</v>
      </c>
      <c r="K271" s="80" t="s">
        <v>2466</v>
      </c>
      <c r="L271" s="62"/>
      <c r="M271" s="64"/>
      <c r="N271" s="65"/>
      <c r="O271" s="65"/>
      <c r="P271" s="65"/>
      <c r="Q271" s="65"/>
      <c r="R271" s="65"/>
      <c r="S271" s="65"/>
      <c r="T271" s="67">
        <v>15</v>
      </c>
      <c r="U271" s="67">
        <v>2571</v>
      </c>
      <c r="V271" s="68" t="s">
        <v>2218</v>
      </c>
      <c r="W271" s="69" t="e">
        <v>#REF!</v>
      </c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</row>
    <row r="272" spans="1:39">
      <c r="A272" s="50"/>
      <c r="B272" s="52">
        <v>6210</v>
      </c>
      <c r="C272" s="53" t="s">
        <v>37</v>
      </c>
      <c r="D272" s="55" t="s">
        <v>1157</v>
      </c>
      <c r="E272" s="53">
        <v>55</v>
      </c>
      <c r="F272" s="56" t="s">
        <v>1158</v>
      </c>
      <c r="G272" s="57" t="s">
        <v>53</v>
      </c>
      <c r="H272" s="58"/>
      <c r="I272" s="59"/>
      <c r="J272" s="60" t="s">
        <v>2466</v>
      </c>
      <c r="K272" s="80" t="s">
        <v>2466</v>
      </c>
      <c r="L272" s="62"/>
      <c r="M272" s="64"/>
      <c r="N272" s="65"/>
      <c r="O272" s="65"/>
      <c r="P272" s="65"/>
      <c r="Q272" s="65"/>
      <c r="R272" s="65"/>
      <c r="S272" s="65"/>
      <c r="T272" s="67">
        <v>15</v>
      </c>
      <c r="U272" s="67">
        <v>2568</v>
      </c>
      <c r="V272" s="68" t="s">
        <v>2218</v>
      </c>
      <c r="W272" s="69" t="e">
        <v>#REF!</v>
      </c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</row>
    <row r="273" spans="1:39">
      <c r="A273" s="50"/>
      <c r="B273" s="52">
        <v>6210</v>
      </c>
      <c r="C273" s="53" t="s">
        <v>37</v>
      </c>
      <c r="D273" s="55" t="s">
        <v>1160</v>
      </c>
      <c r="E273" s="53">
        <v>59</v>
      </c>
      <c r="F273" s="56" t="s">
        <v>1161</v>
      </c>
      <c r="G273" s="57" t="s">
        <v>53</v>
      </c>
      <c r="H273" s="58"/>
      <c r="I273" s="59"/>
      <c r="J273" s="60" t="s">
        <v>2466</v>
      </c>
      <c r="K273" s="61"/>
      <c r="L273" s="62"/>
      <c r="M273" s="64"/>
      <c r="N273" s="65"/>
      <c r="O273" s="65"/>
      <c r="P273" s="65"/>
      <c r="Q273" s="65"/>
      <c r="R273" s="65"/>
      <c r="S273" s="65"/>
      <c r="T273" s="67"/>
      <c r="U273" s="67">
        <v>2557</v>
      </c>
      <c r="V273" s="68" t="s">
        <v>2218</v>
      </c>
      <c r="W273" s="69" t="e">
        <v>#REF!</v>
      </c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</row>
    <row r="274" spans="1:39">
      <c r="A274" s="50"/>
      <c r="B274" s="52">
        <v>6230</v>
      </c>
      <c r="C274" s="53" t="s">
        <v>37</v>
      </c>
      <c r="D274" s="55" t="s">
        <v>1162</v>
      </c>
      <c r="E274" s="53">
        <v>60</v>
      </c>
      <c r="F274" s="56" t="s">
        <v>1163</v>
      </c>
      <c r="G274" s="57" t="s">
        <v>78</v>
      </c>
      <c r="H274" s="58">
        <v>380000</v>
      </c>
      <c r="I274" s="59"/>
      <c r="J274" s="60" t="s">
        <v>2467</v>
      </c>
      <c r="K274" s="61"/>
      <c r="L274" s="62"/>
      <c r="M274" s="64"/>
      <c r="N274" s="65"/>
      <c r="O274" s="65"/>
      <c r="P274" s="65"/>
      <c r="Q274" s="65"/>
      <c r="R274" s="65"/>
      <c r="S274" s="65"/>
      <c r="T274" s="67"/>
      <c r="U274" s="67">
        <v>2558</v>
      </c>
      <c r="V274" s="68" t="s">
        <v>2218</v>
      </c>
      <c r="W274" s="69" t="e">
        <v>#REF!</v>
      </c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</row>
    <row r="275" spans="1:39">
      <c r="A275" s="50"/>
      <c r="B275" s="52">
        <v>6230</v>
      </c>
      <c r="C275" s="53" t="s">
        <v>37</v>
      </c>
      <c r="D275" s="55" t="s">
        <v>1164</v>
      </c>
      <c r="E275" s="53">
        <v>60</v>
      </c>
      <c r="F275" s="56" t="s">
        <v>1165</v>
      </c>
      <c r="G275" s="57" t="s">
        <v>78</v>
      </c>
      <c r="H275" s="58">
        <v>428000</v>
      </c>
      <c r="I275" s="59"/>
      <c r="J275" s="60" t="s">
        <v>2467</v>
      </c>
      <c r="K275" s="61"/>
      <c r="L275" s="62"/>
      <c r="M275" s="64"/>
      <c r="N275" s="65"/>
      <c r="O275" s="65"/>
      <c r="P275" s="65"/>
      <c r="Q275" s="65"/>
      <c r="R275" s="65"/>
      <c r="S275" s="65"/>
      <c r="T275" s="67"/>
      <c r="U275" s="67">
        <v>2558</v>
      </c>
      <c r="V275" s="68" t="s">
        <v>2218</v>
      </c>
      <c r="W275" s="69" t="e">
        <v>#REF!</v>
      </c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</row>
    <row r="276" spans="1:39">
      <c r="A276" s="97"/>
      <c r="B276" s="97">
        <v>6300</v>
      </c>
      <c r="C276" s="89"/>
      <c r="D276" s="365" t="s">
        <v>4099</v>
      </c>
      <c r="E276" s="37"/>
      <c r="F276" s="97"/>
      <c r="G276" s="97"/>
      <c r="H276" s="97"/>
      <c r="I276" s="89"/>
      <c r="J276" s="89"/>
      <c r="K276" s="37"/>
      <c r="L276" s="37"/>
      <c r="M276" s="97"/>
      <c r="N276" s="97"/>
      <c r="O276" s="97"/>
      <c r="P276" s="89"/>
      <c r="Q276" s="89"/>
      <c r="R276" s="37"/>
      <c r="S276" s="37"/>
      <c r="T276" s="97"/>
      <c r="U276" s="97"/>
      <c r="V276" s="37" t="s">
        <v>2220</v>
      </c>
      <c r="W276" s="37">
        <v>0</v>
      </c>
      <c r="X276" s="89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</row>
    <row r="277" spans="1:39">
      <c r="A277" s="97"/>
      <c r="B277" s="97">
        <v>6600</v>
      </c>
      <c r="C277" s="89"/>
      <c r="D277" s="365" t="s">
        <v>4100</v>
      </c>
      <c r="E277" s="37"/>
      <c r="F277" s="97"/>
      <c r="G277" s="97"/>
      <c r="H277" s="97"/>
      <c r="I277" s="89"/>
      <c r="J277" s="89"/>
      <c r="K277" s="37"/>
      <c r="L277" s="37"/>
      <c r="M277" s="97"/>
      <c r="N277" s="97"/>
      <c r="O277" s="97"/>
      <c r="P277" s="89"/>
      <c r="Q277" s="89"/>
      <c r="R277" s="37"/>
      <c r="S277" s="37"/>
      <c r="T277" s="97"/>
      <c r="U277" s="97"/>
      <c r="V277" s="37" t="s">
        <v>2228</v>
      </c>
      <c r="W277" s="37">
        <v>29</v>
      </c>
      <c r="X277" s="89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</row>
    <row r="278" spans="1:39">
      <c r="A278" s="50"/>
      <c r="B278" s="52">
        <v>6625</v>
      </c>
      <c r="C278" s="53" t="s">
        <v>37</v>
      </c>
      <c r="D278" s="55" t="s">
        <v>1168</v>
      </c>
      <c r="E278" s="53">
        <v>57</v>
      </c>
      <c r="F278" s="56" t="s">
        <v>1169</v>
      </c>
      <c r="G278" s="57" t="s">
        <v>78</v>
      </c>
      <c r="H278" s="58">
        <v>300000</v>
      </c>
      <c r="I278" s="59"/>
      <c r="J278" s="60" t="s">
        <v>2475</v>
      </c>
      <c r="K278" s="80" t="s">
        <v>2475</v>
      </c>
      <c r="L278" s="62"/>
      <c r="M278" s="64"/>
      <c r="N278" s="65"/>
      <c r="O278" s="65"/>
      <c r="P278" s="65"/>
      <c r="Q278" s="65"/>
      <c r="R278" s="65"/>
      <c r="S278" s="65"/>
      <c r="T278" s="67">
        <v>10</v>
      </c>
      <c r="U278" s="67">
        <v>2565</v>
      </c>
      <c r="V278" s="68" t="s">
        <v>2228</v>
      </c>
      <c r="W278" s="69" t="e">
        <v>#REF!</v>
      </c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</row>
    <row r="279" spans="1:39">
      <c r="A279" s="50"/>
      <c r="B279" s="52">
        <v>6630</v>
      </c>
      <c r="C279" s="53" t="s">
        <v>256</v>
      </c>
      <c r="D279" s="55" t="s">
        <v>1170</v>
      </c>
      <c r="E279" s="53">
        <v>54</v>
      </c>
      <c r="F279" s="56" t="s">
        <v>1171</v>
      </c>
      <c r="G279" s="57" t="s">
        <v>78</v>
      </c>
      <c r="H279" s="58">
        <v>20000</v>
      </c>
      <c r="I279" s="59"/>
      <c r="J279" s="60" t="s">
        <v>2478</v>
      </c>
      <c r="K279" s="80" t="s">
        <v>2478</v>
      </c>
      <c r="L279" s="62"/>
      <c r="M279" s="64"/>
      <c r="N279" s="65"/>
      <c r="O279" s="65"/>
      <c r="P279" s="65"/>
      <c r="Q279" s="65"/>
      <c r="R279" s="65"/>
      <c r="S279" s="65"/>
      <c r="T279" s="67">
        <v>10</v>
      </c>
      <c r="U279" s="67">
        <v>2562</v>
      </c>
      <c r="V279" s="68" t="s">
        <v>2228</v>
      </c>
      <c r="W279" s="69" t="e">
        <v>#REF!</v>
      </c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</row>
    <row r="280" spans="1:39">
      <c r="A280" s="50"/>
      <c r="B280" s="52">
        <v>6630</v>
      </c>
      <c r="C280" s="53" t="s">
        <v>256</v>
      </c>
      <c r="D280" s="55" t="s">
        <v>1172</v>
      </c>
      <c r="E280" s="53">
        <v>52</v>
      </c>
      <c r="F280" s="56" t="s">
        <v>1173</v>
      </c>
      <c r="G280" s="57" t="s">
        <v>78</v>
      </c>
      <c r="H280" s="58">
        <v>5000</v>
      </c>
      <c r="I280" s="59"/>
      <c r="J280" s="60" t="s">
        <v>2478</v>
      </c>
      <c r="K280" s="80" t="s">
        <v>2478</v>
      </c>
      <c r="L280" s="62"/>
      <c r="M280" s="64"/>
      <c r="N280" s="65"/>
      <c r="O280" s="65"/>
      <c r="P280" s="65"/>
      <c r="Q280" s="65"/>
      <c r="R280" s="65"/>
      <c r="S280" s="65"/>
      <c r="T280" s="67">
        <v>10</v>
      </c>
      <c r="U280" s="67">
        <v>2560</v>
      </c>
      <c r="V280" s="68" t="s">
        <v>2228</v>
      </c>
      <c r="W280" s="69" t="e">
        <v>#REF!</v>
      </c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</row>
    <row r="281" spans="1:39">
      <c r="A281" s="50"/>
      <c r="B281" s="52">
        <v>6630</v>
      </c>
      <c r="C281" s="53" t="s">
        <v>256</v>
      </c>
      <c r="D281" s="55" t="s">
        <v>1174</v>
      </c>
      <c r="E281" s="53">
        <v>54</v>
      </c>
      <c r="F281" s="56" t="s">
        <v>1175</v>
      </c>
      <c r="G281" s="57" t="s">
        <v>78</v>
      </c>
      <c r="H281" s="58">
        <v>35000</v>
      </c>
      <c r="I281" s="59"/>
      <c r="J281" s="60" t="s">
        <v>2478</v>
      </c>
      <c r="K281" s="80" t="s">
        <v>2478</v>
      </c>
      <c r="L281" s="62"/>
      <c r="M281" s="64"/>
      <c r="N281" s="65"/>
      <c r="O281" s="65"/>
      <c r="P281" s="65"/>
      <c r="Q281" s="65"/>
      <c r="R281" s="65"/>
      <c r="S281" s="65"/>
      <c r="T281" s="67">
        <v>10</v>
      </c>
      <c r="U281" s="67">
        <v>2562</v>
      </c>
      <c r="V281" s="68" t="s">
        <v>2228</v>
      </c>
      <c r="W281" s="69" t="e">
        <v>#REF!</v>
      </c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</row>
    <row r="282" spans="1:39" ht="31.5">
      <c r="A282" s="50"/>
      <c r="B282" s="52">
        <v>6635</v>
      </c>
      <c r="C282" s="53" t="s">
        <v>372</v>
      </c>
      <c r="D282" s="55" t="s">
        <v>1176</v>
      </c>
      <c r="E282" s="53">
        <v>60</v>
      </c>
      <c r="F282" s="56" t="s">
        <v>1177</v>
      </c>
      <c r="G282" s="57" t="s">
        <v>78</v>
      </c>
      <c r="H282" s="58">
        <v>130000</v>
      </c>
      <c r="I282" s="59">
        <v>22044</v>
      </c>
      <c r="J282" s="60" t="s">
        <v>2479</v>
      </c>
      <c r="K282" s="61"/>
      <c r="L282" s="62" t="s">
        <v>1178</v>
      </c>
      <c r="M282" s="64"/>
      <c r="N282" s="65"/>
      <c r="O282" s="65"/>
      <c r="P282" s="65"/>
      <c r="Q282" s="65"/>
      <c r="R282" s="65"/>
      <c r="S282" s="65"/>
      <c r="T282" s="67">
        <v>10</v>
      </c>
      <c r="U282" s="67">
        <v>2568</v>
      </c>
      <c r="V282" s="68" t="s">
        <v>2228</v>
      </c>
      <c r="W282" s="69" t="e">
        <v>#REF!</v>
      </c>
      <c r="X282" s="70" t="s">
        <v>384</v>
      </c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</row>
    <row r="283" spans="1:39">
      <c r="A283" s="50"/>
      <c r="B283" s="52">
        <v>6635</v>
      </c>
      <c r="C283" s="53" t="s">
        <v>372</v>
      </c>
      <c r="D283" s="55" t="s">
        <v>1179</v>
      </c>
      <c r="E283" s="53">
        <v>60</v>
      </c>
      <c r="F283" s="56" t="s">
        <v>817</v>
      </c>
      <c r="G283" s="57" t="s">
        <v>78</v>
      </c>
      <c r="H283" s="58">
        <v>1350000</v>
      </c>
      <c r="I283" s="59">
        <v>22139</v>
      </c>
      <c r="J283" s="60" t="s">
        <v>2479</v>
      </c>
      <c r="K283" s="61"/>
      <c r="L283" s="62" t="s">
        <v>1180</v>
      </c>
      <c r="M283" s="64"/>
      <c r="N283" s="65"/>
      <c r="O283" s="65"/>
      <c r="P283" s="65"/>
      <c r="Q283" s="65"/>
      <c r="R283" s="65"/>
      <c r="S283" s="65"/>
      <c r="T283" s="67">
        <v>10</v>
      </c>
      <c r="U283" s="67">
        <v>2568</v>
      </c>
      <c r="V283" s="68" t="s">
        <v>2228</v>
      </c>
      <c r="W283" s="69" t="e">
        <v>#REF!</v>
      </c>
      <c r="X283" s="70" t="s">
        <v>384</v>
      </c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</row>
    <row r="284" spans="1:39">
      <c r="A284" s="50"/>
      <c r="B284" s="52">
        <v>6635</v>
      </c>
      <c r="C284" s="53" t="s">
        <v>372</v>
      </c>
      <c r="D284" s="55" t="s">
        <v>1181</v>
      </c>
      <c r="E284" s="53">
        <v>61</v>
      </c>
      <c r="F284" s="56" t="s">
        <v>1182</v>
      </c>
      <c r="G284" s="57" t="s">
        <v>78</v>
      </c>
      <c r="H284" s="58">
        <v>990000</v>
      </c>
      <c r="I284" s="59"/>
      <c r="J284" s="60" t="s">
        <v>2479</v>
      </c>
      <c r="K284" s="61"/>
      <c r="L284" s="62">
        <v>6635356816229</v>
      </c>
      <c r="M284" s="64"/>
      <c r="N284" s="65"/>
      <c r="O284" s="65"/>
      <c r="P284" s="65"/>
      <c r="Q284" s="65"/>
      <c r="R284" s="65"/>
      <c r="S284" s="65"/>
      <c r="T284" s="67"/>
      <c r="U284" s="67"/>
      <c r="V284" s="68" t="s">
        <v>2228</v>
      </c>
      <c r="W284" s="69" t="e">
        <v>#REF!</v>
      </c>
      <c r="X284" s="70" t="s">
        <v>384</v>
      </c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</row>
    <row r="285" spans="1:39">
      <c r="A285" s="50"/>
      <c r="B285" s="52">
        <v>6635</v>
      </c>
      <c r="C285" s="53" t="s">
        <v>372</v>
      </c>
      <c r="D285" s="55" t="s">
        <v>1183</v>
      </c>
      <c r="E285" s="53">
        <v>61</v>
      </c>
      <c r="F285" s="56" t="s">
        <v>1184</v>
      </c>
      <c r="G285" s="57" t="s">
        <v>53</v>
      </c>
      <c r="H285" s="58">
        <v>825000</v>
      </c>
      <c r="I285" s="59">
        <v>43258</v>
      </c>
      <c r="J285" s="60" t="s">
        <v>2479</v>
      </c>
      <c r="K285" s="61"/>
      <c r="L285" s="62">
        <v>6675356816708</v>
      </c>
      <c r="M285" s="64"/>
      <c r="N285" s="65"/>
      <c r="O285" s="65"/>
      <c r="P285" s="65"/>
      <c r="Q285" s="65"/>
      <c r="R285" s="65"/>
      <c r="S285" s="65"/>
      <c r="T285" s="67"/>
      <c r="U285" s="67"/>
      <c r="V285" s="68" t="s">
        <v>2228</v>
      </c>
      <c r="W285" s="69" t="e">
        <v>#REF!</v>
      </c>
      <c r="X285" s="70" t="s">
        <v>384</v>
      </c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</row>
    <row r="286" spans="1:39">
      <c r="A286" s="50"/>
      <c r="B286" s="52">
        <v>6635</v>
      </c>
      <c r="C286" s="53" t="s">
        <v>372</v>
      </c>
      <c r="D286" s="55" t="s">
        <v>1185</v>
      </c>
      <c r="E286" s="53">
        <v>60</v>
      </c>
      <c r="F286" s="56" t="s">
        <v>1186</v>
      </c>
      <c r="G286" s="57" t="s">
        <v>53</v>
      </c>
      <c r="H286" s="58">
        <v>160000</v>
      </c>
      <c r="I286" s="59">
        <v>42719</v>
      </c>
      <c r="J286" s="60" t="s">
        <v>2479</v>
      </c>
      <c r="K286" s="61"/>
      <c r="L286" s="62" t="s">
        <v>1187</v>
      </c>
      <c r="M286" s="64"/>
      <c r="N286" s="65"/>
      <c r="O286" s="65"/>
      <c r="P286" s="65"/>
      <c r="Q286" s="65"/>
      <c r="R286" s="65"/>
      <c r="S286" s="65"/>
      <c r="T286" s="67">
        <v>10</v>
      </c>
      <c r="U286" s="67">
        <v>2568</v>
      </c>
      <c r="V286" s="68" t="s">
        <v>2228</v>
      </c>
      <c r="W286" s="69" t="e">
        <v>#REF!</v>
      </c>
      <c r="X286" s="70" t="s">
        <v>384</v>
      </c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</row>
    <row r="287" spans="1:39">
      <c r="A287" s="50"/>
      <c r="B287" s="52">
        <v>6635</v>
      </c>
      <c r="C287" s="53" t="s">
        <v>372</v>
      </c>
      <c r="D287" s="55" t="s">
        <v>1188</v>
      </c>
      <c r="E287" s="53">
        <v>60</v>
      </c>
      <c r="F287" s="56" t="s">
        <v>1189</v>
      </c>
      <c r="G287" s="57" t="s">
        <v>53</v>
      </c>
      <c r="H287" s="58">
        <v>1250000</v>
      </c>
      <c r="I287" s="59">
        <v>42719</v>
      </c>
      <c r="J287" s="60" t="s">
        <v>2479</v>
      </c>
      <c r="K287" s="61"/>
      <c r="L287" s="62" t="s">
        <v>1190</v>
      </c>
      <c r="M287" s="64"/>
      <c r="N287" s="65"/>
      <c r="O287" s="65"/>
      <c r="P287" s="65"/>
      <c r="Q287" s="65"/>
      <c r="R287" s="65"/>
      <c r="S287" s="65"/>
      <c r="T287" s="67">
        <v>10</v>
      </c>
      <c r="U287" s="67">
        <v>2568</v>
      </c>
      <c r="V287" s="68" t="s">
        <v>2228</v>
      </c>
      <c r="W287" s="69" t="e">
        <v>#REF!</v>
      </c>
      <c r="X287" s="70" t="s">
        <v>384</v>
      </c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</row>
    <row r="288" spans="1:39">
      <c r="A288" s="50"/>
      <c r="B288" s="52">
        <v>6635</v>
      </c>
      <c r="C288" s="53" t="s">
        <v>372</v>
      </c>
      <c r="D288" s="55" t="s">
        <v>1191</v>
      </c>
      <c r="E288" s="53">
        <v>56</v>
      </c>
      <c r="F288" s="56" t="s">
        <v>1192</v>
      </c>
      <c r="G288" s="57" t="s">
        <v>53</v>
      </c>
      <c r="H288" s="58">
        <v>150000</v>
      </c>
      <c r="I288" s="59"/>
      <c r="J288" s="60" t="s">
        <v>2479</v>
      </c>
      <c r="K288" s="80" t="s">
        <v>2479</v>
      </c>
      <c r="L288" s="62" t="s">
        <v>1194</v>
      </c>
      <c r="M288" s="64"/>
      <c r="N288" s="65"/>
      <c r="O288" s="65"/>
      <c r="P288" s="65"/>
      <c r="Q288" s="65"/>
      <c r="R288" s="65"/>
      <c r="S288" s="65"/>
      <c r="T288" s="67">
        <v>10</v>
      </c>
      <c r="U288" s="67">
        <v>2564</v>
      </c>
      <c r="V288" s="68" t="s">
        <v>2228</v>
      </c>
      <c r="W288" s="69" t="e">
        <v>#REF!</v>
      </c>
      <c r="X288" s="70" t="s">
        <v>384</v>
      </c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</row>
    <row r="289" spans="1:39" ht="31.5">
      <c r="A289" s="50" t="s">
        <v>1196</v>
      </c>
      <c r="B289" s="52">
        <v>6635</v>
      </c>
      <c r="C289" s="53" t="s">
        <v>372</v>
      </c>
      <c r="D289" s="55" t="s">
        <v>1197</v>
      </c>
      <c r="E289" s="53">
        <v>61</v>
      </c>
      <c r="F289" s="106" t="s">
        <v>1198</v>
      </c>
      <c r="G289" s="57" t="s">
        <v>53</v>
      </c>
      <c r="H289" s="58">
        <v>980000</v>
      </c>
      <c r="I289" s="59">
        <v>241611</v>
      </c>
      <c r="J289" s="101"/>
      <c r="K289" s="61"/>
      <c r="L289" s="107"/>
      <c r="M289" s="106" t="s">
        <v>1199</v>
      </c>
      <c r="N289" s="65" t="s">
        <v>1200</v>
      </c>
      <c r="O289" s="65" t="s">
        <v>1201</v>
      </c>
      <c r="P289" s="65" t="s">
        <v>1202</v>
      </c>
      <c r="Q289" s="65" t="s">
        <v>1203</v>
      </c>
      <c r="R289" s="65" t="s">
        <v>1204</v>
      </c>
      <c r="S289" s="65" t="s">
        <v>1205</v>
      </c>
      <c r="T289" s="108"/>
      <c r="U289" s="67"/>
      <c r="V289" s="68" t="s">
        <v>2228</v>
      </c>
      <c r="W289" s="69">
        <v>29</v>
      </c>
      <c r="X289" s="70" t="s">
        <v>384</v>
      </c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</row>
    <row r="290" spans="1:39">
      <c r="A290" s="50"/>
      <c r="B290" s="52">
        <v>6635</v>
      </c>
      <c r="C290" s="53" t="s">
        <v>372</v>
      </c>
      <c r="D290" s="55" t="s">
        <v>1206</v>
      </c>
      <c r="E290" s="53">
        <v>60</v>
      </c>
      <c r="F290" s="56" t="s">
        <v>1207</v>
      </c>
      <c r="G290" s="57" t="s">
        <v>53</v>
      </c>
      <c r="H290" s="58">
        <v>802500</v>
      </c>
      <c r="I290" s="59"/>
      <c r="J290" s="60" t="s">
        <v>2479</v>
      </c>
      <c r="K290" s="61"/>
      <c r="L290" s="62" t="s">
        <v>1208</v>
      </c>
      <c r="M290" s="64"/>
      <c r="N290" s="65"/>
      <c r="O290" s="65"/>
      <c r="P290" s="65"/>
      <c r="Q290" s="65"/>
      <c r="R290" s="65"/>
      <c r="S290" s="65"/>
      <c r="T290" s="67">
        <v>10</v>
      </c>
      <c r="U290" s="67">
        <v>2568</v>
      </c>
      <c r="V290" s="68" t="s">
        <v>2228</v>
      </c>
      <c r="W290" s="69" t="e">
        <v>#REF!</v>
      </c>
      <c r="X290" s="70" t="s">
        <v>384</v>
      </c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  <c r="AM290" s="70"/>
    </row>
    <row r="291" spans="1:39">
      <c r="A291" s="50"/>
      <c r="B291" s="52">
        <v>6635</v>
      </c>
      <c r="C291" s="53" t="s">
        <v>372</v>
      </c>
      <c r="D291" s="55" t="s">
        <v>1209</v>
      </c>
      <c r="E291" s="53">
        <v>60</v>
      </c>
      <c r="F291" s="56" t="s">
        <v>4115</v>
      </c>
      <c r="G291" s="57" t="s">
        <v>53</v>
      </c>
      <c r="H291" s="58">
        <v>100000</v>
      </c>
      <c r="I291" s="59">
        <v>42719</v>
      </c>
      <c r="J291" s="60" t="s">
        <v>2479</v>
      </c>
      <c r="K291" s="61"/>
      <c r="L291" s="62" t="s">
        <v>1211</v>
      </c>
      <c r="M291" s="64"/>
      <c r="N291" s="65"/>
      <c r="O291" s="65"/>
      <c r="P291" s="65"/>
      <c r="Q291" s="65"/>
      <c r="R291" s="65"/>
      <c r="S291" s="65"/>
      <c r="T291" s="67">
        <v>10</v>
      </c>
      <c r="U291" s="67">
        <v>2568</v>
      </c>
      <c r="V291" s="68" t="s">
        <v>2228</v>
      </c>
      <c r="W291" s="69" t="e">
        <v>#REF!</v>
      </c>
      <c r="X291" s="70" t="s">
        <v>384</v>
      </c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0"/>
    </row>
    <row r="292" spans="1:39" ht="31.5">
      <c r="A292" s="50"/>
      <c r="B292" s="52">
        <v>6635</v>
      </c>
      <c r="C292" s="53" t="s">
        <v>372</v>
      </c>
      <c r="D292" s="55" t="s">
        <v>1212</v>
      </c>
      <c r="E292" s="53">
        <v>61</v>
      </c>
      <c r="F292" s="56" t="s">
        <v>824</v>
      </c>
      <c r="G292" s="57" t="s">
        <v>53</v>
      </c>
      <c r="H292" s="58">
        <v>1500000</v>
      </c>
      <c r="I292" s="59"/>
      <c r="J292" s="60" t="s">
        <v>2479</v>
      </c>
      <c r="K292" s="61"/>
      <c r="L292" s="62" t="s">
        <v>1213</v>
      </c>
      <c r="M292" s="64"/>
      <c r="N292" s="65"/>
      <c r="O292" s="65"/>
      <c r="P292" s="65"/>
      <c r="Q292" s="65"/>
      <c r="R292" s="65"/>
      <c r="S292" s="65"/>
      <c r="T292" s="67"/>
      <c r="U292" s="67"/>
      <c r="V292" s="68" t="s">
        <v>2228</v>
      </c>
      <c r="W292" s="69" t="e">
        <v>#REF!</v>
      </c>
      <c r="X292" s="70" t="s">
        <v>384</v>
      </c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</row>
    <row r="293" spans="1:39">
      <c r="A293" s="50"/>
      <c r="B293" s="52">
        <v>6635</v>
      </c>
      <c r="C293" s="53" t="s">
        <v>372</v>
      </c>
      <c r="D293" s="55" t="s">
        <v>1214</v>
      </c>
      <c r="E293" s="53">
        <v>60</v>
      </c>
      <c r="F293" s="56" t="s">
        <v>1215</v>
      </c>
      <c r="G293" s="57" t="s">
        <v>78</v>
      </c>
      <c r="H293" s="58">
        <v>150000</v>
      </c>
      <c r="I293" s="59"/>
      <c r="J293" s="60" t="s">
        <v>2479</v>
      </c>
      <c r="K293" s="61"/>
      <c r="L293" s="62" t="s">
        <v>1216</v>
      </c>
      <c r="M293" s="64"/>
      <c r="N293" s="65"/>
      <c r="O293" s="65"/>
      <c r="P293" s="65"/>
      <c r="Q293" s="65"/>
      <c r="R293" s="65"/>
      <c r="S293" s="65"/>
      <c r="T293" s="67">
        <v>10</v>
      </c>
      <c r="U293" s="67">
        <v>2568</v>
      </c>
      <c r="V293" s="68" t="s">
        <v>2228</v>
      </c>
      <c r="W293" s="69" t="e">
        <v>#REF!</v>
      </c>
      <c r="X293" s="70" t="s">
        <v>384</v>
      </c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</row>
    <row r="294" spans="1:39">
      <c r="A294" s="50"/>
      <c r="B294" s="52">
        <v>6675</v>
      </c>
      <c r="C294" s="53" t="s">
        <v>372</v>
      </c>
      <c r="D294" s="55" t="s">
        <v>1217</v>
      </c>
      <c r="E294" s="53">
        <v>58</v>
      </c>
      <c r="F294" s="56" t="s">
        <v>1218</v>
      </c>
      <c r="G294" s="57" t="s">
        <v>78</v>
      </c>
      <c r="H294" s="58">
        <v>56000</v>
      </c>
      <c r="I294" s="59"/>
      <c r="J294" s="60" t="s">
        <v>2482</v>
      </c>
      <c r="K294" s="80" t="s">
        <v>2482</v>
      </c>
      <c r="L294" s="62">
        <v>6675357069807</v>
      </c>
      <c r="M294" s="64"/>
      <c r="N294" s="65"/>
      <c r="O294" s="65"/>
      <c r="P294" s="65"/>
      <c r="Q294" s="65"/>
      <c r="R294" s="65"/>
      <c r="S294" s="65"/>
      <c r="T294" s="67">
        <v>10</v>
      </c>
      <c r="U294" s="67">
        <v>2566</v>
      </c>
      <c r="V294" s="68" t="s">
        <v>2228</v>
      </c>
      <c r="W294" s="69" t="e">
        <v>#REF!</v>
      </c>
      <c r="X294" s="70" t="s">
        <v>1219</v>
      </c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</row>
    <row r="295" spans="1:39" ht="31.5">
      <c r="A295" s="50"/>
      <c r="B295" s="52">
        <v>6675</v>
      </c>
      <c r="C295" s="53" t="s">
        <v>372</v>
      </c>
      <c r="D295" s="55" t="s">
        <v>1220</v>
      </c>
      <c r="E295" s="53">
        <v>59</v>
      </c>
      <c r="F295" s="56" t="s">
        <v>1221</v>
      </c>
      <c r="G295" s="57" t="s">
        <v>78</v>
      </c>
      <c r="H295" s="58">
        <v>23000</v>
      </c>
      <c r="I295" s="59"/>
      <c r="J295" s="60" t="s">
        <v>2482</v>
      </c>
      <c r="K295" s="61"/>
      <c r="L295" s="62" t="s">
        <v>1222</v>
      </c>
      <c r="M295" s="64"/>
      <c r="N295" s="65"/>
      <c r="O295" s="65"/>
      <c r="P295" s="65"/>
      <c r="Q295" s="65"/>
      <c r="R295" s="65"/>
      <c r="S295" s="65"/>
      <c r="T295" s="67">
        <v>10</v>
      </c>
      <c r="U295" s="67">
        <v>2567</v>
      </c>
      <c r="V295" s="68" t="s">
        <v>2228</v>
      </c>
      <c r="W295" s="69" t="e">
        <v>#REF!</v>
      </c>
      <c r="X295" s="70" t="s">
        <v>1219</v>
      </c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</row>
    <row r="296" spans="1:39" ht="31.5">
      <c r="A296" s="50"/>
      <c r="B296" s="52">
        <v>6675</v>
      </c>
      <c r="C296" s="53" t="s">
        <v>372</v>
      </c>
      <c r="D296" s="55" t="s">
        <v>1223</v>
      </c>
      <c r="E296" s="53">
        <v>59</v>
      </c>
      <c r="F296" s="56" t="s">
        <v>1224</v>
      </c>
      <c r="G296" s="57" t="s">
        <v>78</v>
      </c>
      <c r="H296" s="58">
        <v>900000</v>
      </c>
      <c r="I296" s="59"/>
      <c r="J296" s="60" t="s">
        <v>2482</v>
      </c>
      <c r="K296" s="61"/>
      <c r="L296" s="62" t="s">
        <v>1225</v>
      </c>
      <c r="M296" s="64"/>
      <c r="N296" s="65"/>
      <c r="O296" s="65"/>
      <c r="P296" s="65"/>
      <c r="Q296" s="65"/>
      <c r="R296" s="65"/>
      <c r="S296" s="65"/>
      <c r="T296" s="67">
        <v>10</v>
      </c>
      <c r="U296" s="67">
        <v>2567</v>
      </c>
      <c r="V296" s="68" t="s">
        <v>2228</v>
      </c>
      <c r="W296" s="69" t="e">
        <v>#REF!</v>
      </c>
      <c r="X296" s="70" t="s">
        <v>1219</v>
      </c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</row>
    <row r="297" spans="1:39">
      <c r="A297" s="50"/>
      <c r="B297" s="52">
        <v>6675</v>
      </c>
      <c r="C297" s="53" t="s">
        <v>191</v>
      </c>
      <c r="D297" s="55" t="s">
        <v>1226</v>
      </c>
      <c r="E297" s="53">
        <v>60</v>
      </c>
      <c r="F297" s="56" t="s">
        <v>1227</v>
      </c>
      <c r="G297" s="57" t="s">
        <v>78</v>
      </c>
      <c r="H297" s="58">
        <v>755000</v>
      </c>
      <c r="I297" s="59"/>
      <c r="J297" s="60" t="s">
        <v>2482</v>
      </c>
      <c r="K297" s="61"/>
      <c r="L297" s="62">
        <v>6675356816704</v>
      </c>
      <c r="M297" s="64"/>
      <c r="N297" s="65"/>
      <c r="O297" s="65"/>
      <c r="P297" s="65"/>
      <c r="Q297" s="65"/>
      <c r="R297" s="65"/>
      <c r="S297" s="65"/>
      <c r="T297" s="67">
        <v>10</v>
      </c>
      <c r="U297" s="67">
        <v>2568</v>
      </c>
      <c r="V297" s="68" t="s">
        <v>2228</v>
      </c>
      <c r="W297" s="69" t="e">
        <v>#REF!</v>
      </c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</row>
    <row r="298" spans="1:39">
      <c r="A298" s="50"/>
      <c r="B298" s="52">
        <v>6675</v>
      </c>
      <c r="C298" s="53" t="s">
        <v>372</v>
      </c>
      <c r="D298" s="55" t="s">
        <v>1230</v>
      </c>
      <c r="E298" s="53">
        <v>58</v>
      </c>
      <c r="F298" s="56" t="s">
        <v>1231</v>
      </c>
      <c r="G298" s="57" t="s">
        <v>53</v>
      </c>
      <c r="H298" s="58">
        <v>850000</v>
      </c>
      <c r="I298" s="59"/>
      <c r="J298" s="60" t="s">
        <v>2482</v>
      </c>
      <c r="K298" s="80" t="s">
        <v>2482</v>
      </c>
      <c r="L298" s="62"/>
      <c r="M298" s="64"/>
      <c r="N298" s="65"/>
      <c r="O298" s="65"/>
      <c r="P298" s="65"/>
      <c r="Q298" s="65"/>
      <c r="R298" s="65"/>
      <c r="S298" s="65"/>
      <c r="T298" s="67">
        <v>10</v>
      </c>
      <c r="U298" s="67">
        <v>2566</v>
      </c>
      <c r="V298" s="68" t="s">
        <v>2228</v>
      </c>
      <c r="W298" s="69" t="e">
        <v>#REF!</v>
      </c>
      <c r="X298" s="70" t="s">
        <v>1234</v>
      </c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  <c r="AM298" s="70"/>
    </row>
    <row r="299" spans="1:39">
      <c r="A299" s="50"/>
      <c r="B299" s="52">
        <v>6675</v>
      </c>
      <c r="C299" s="53" t="s">
        <v>372</v>
      </c>
      <c r="D299" s="55" t="s">
        <v>1236</v>
      </c>
      <c r="E299" s="53">
        <v>60</v>
      </c>
      <c r="F299" s="56" t="s">
        <v>1237</v>
      </c>
      <c r="G299" s="57" t="s">
        <v>53</v>
      </c>
      <c r="H299" s="58">
        <v>650000</v>
      </c>
      <c r="I299" s="59"/>
      <c r="J299" s="60" t="s">
        <v>2482</v>
      </c>
      <c r="K299" s="61"/>
      <c r="L299" s="62"/>
      <c r="M299" s="64"/>
      <c r="N299" s="65"/>
      <c r="O299" s="65"/>
      <c r="P299" s="65"/>
      <c r="Q299" s="65"/>
      <c r="R299" s="65"/>
      <c r="S299" s="65"/>
      <c r="T299" s="67">
        <v>10</v>
      </c>
      <c r="U299" s="67">
        <v>2568</v>
      </c>
      <c r="V299" s="68" t="s">
        <v>2228</v>
      </c>
      <c r="W299" s="69" t="e">
        <v>#REF!</v>
      </c>
      <c r="X299" s="70" t="s">
        <v>1234</v>
      </c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</row>
    <row r="300" spans="1:39">
      <c r="A300" s="50"/>
      <c r="B300" s="52">
        <v>6675</v>
      </c>
      <c r="C300" s="53" t="s">
        <v>372</v>
      </c>
      <c r="D300" s="55" t="s">
        <v>1238</v>
      </c>
      <c r="E300" s="53">
        <v>61</v>
      </c>
      <c r="F300" s="56" t="s">
        <v>1239</v>
      </c>
      <c r="G300" s="57" t="s">
        <v>78</v>
      </c>
      <c r="H300" s="58">
        <v>30000</v>
      </c>
      <c r="I300" s="59"/>
      <c r="J300" s="60" t="s">
        <v>2482</v>
      </c>
      <c r="K300" s="61"/>
      <c r="L300" s="62"/>
      <c r="M300" s="64"/>
      <c r="N300" s="65"/>
      <c r="O300" s="65"/>
      <c r="P300" s="65"/>
      <c r="Q300" s="65"/>
      <c r="R300" s="65"/>
      <c r="S300" s="65"/>
      <c r="T300" s="67"/>
      <c r="U300" s="67"/>
      <c r="V300" s="68" t="s">
        <v>2228</v>
      </c>
      <c r="W300" s="69" t="e">
        <v>#REF!</v>
      </c>
      <c r="X300" s="70" t="s">
        <v>1232</v>
      </c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</row>
    <row r="301" spans="1:39">
      <c r="A301" s="50"/>
      <c r="B301" s="52">
        <v>6675</v>
      </c>
      <c r="C301" s="53" t="s">
        <v>372</v>
      </c>
      <c r="D301" s="55" t="s">
        <v>1242</v>
      </c>
      <c r="E301" s="53">
        <v>61</v>
      </c>
      <c r="F301" s="56" t="s">
        <v>1243</v>
      </c>
      <c r="G301" s="57" t="s">
        <v>53</v>
      </c>
      <c r="H301" s="58">
        <v>250000</v>
      </c>
      <c r="I301" s="59">
        <v>43268</v>
      </c>
      <c r="J301" s="60" t="s">
        <v>2482</v>
      </c>
      <c r="K301" s="61"/>
      <c r="L301" s="62"/>
      <c r="M301" s="64"/>
      <c r="N301" s="65"/>
      <c r="O301" s="65"/>
      <c r="P301" s="65"/>
      <c r="Q301" s="65"/>
      <c r="R301" s="65"/>
      <c r="S301" s="65"/>
      <c r="T301" s="67">
        <v>10</v>
      </c>
      <c r="U301" s="67">
        <v>2569</v>
      </c>
      <c r="V301" s="68" t="s">
        <v>2228</v>
      </c>
      <c r="W301" s="69" t="e">
        <v>#REF!</v>
      </c>
      <c r="X301" s="70" t="s">
        <v>1232</v>
      </c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</row>
    <row r="302" spans="1:39" ht="31.5">
      <c r="A302" s="50" t="s">
        <v>1196</v>
      </c>
      <c r="B302" s="52">
        <v>6675</v>
      </c>
      <c r="C302" s="53" t="s">
        <v>372</v>
      </c>
      <c r="D302" s="55" t="s">
        <v>1245</v>
      </c>
      <c r="E302" s="53">
        <v>62</v>
      </c>
      <c r="F302" s="56" t="s">
        <v>1246</v>
      </c>
      <c r="G302" s="57" t="s">
        <v>53</v>
      </c>
      <c r="H302" s="58">
        <v>400000</v>
      </c>
      <c r="I302" s="59"/>
      <c r="J302" s="101"/>
      <c r="K302" s="61"/>
      <c r="L302" s="62"/>
      <c r="M302" s="64"/>
      <c r="N302" s="65" t="s">
        <v>1200</v>
      </c>
      <c r="O302" s="65" t="s">
        <v>1201</v>
      </c>
      <c r="P302" s="65" t="s">
        <v>1202</v>
      </c>
      <c r="Q302" s="65" t="s">
        <v>1203</v>
      </c>
      <c r="R302" s="65" t="s">
        <v>1204</v>
      </c>
      <c r="S302" s="65" t="s">
        <v>1205</v>
      </c>
      <c r="T302" s="67"/>
      <c r="U302" s="67"/>
      <c r="V302" s="68" t="s">
        <v>2228</v>
      </c>
      <c r="W302" s="69" t="e">
        <v>#REF!</v>
      </c>
      <c r="X302" s="70" t="s">
        <v>1232</v>
      </c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/>
      <c r="AM302" s="70"/>
    </row>
    <row r="303" spans="1:39">
      <c r="A303" s="50"/>
      <c r="B303" s="52">
        <v>6680</v>
      </c>
      <c r="C303" s="53" t="s">
        <v>256</v>
      </c>
      <c r="D303" s="55" t="s">
        <v>1249</v>
      </c>
      <c r="E303" s="53">
        <v>54</v>
      </c>
      <c r="F303" s="56" t="s">
        <v>1250</v>
      </c>
      <c r="G303" s="57" t="s">
        <v>78</v>
      </c>
      <c r="H303" s="58">
        <v>47000</v>
      </c>
      <c r="I303" s="59"/>
      <c r="J303" s="60" t="s">
        <v>2485</v>
      </c>
      <c r="K303" s="80" t="s">
        <v>2485</v>
      </c>
      <c r="L303" s="62"/>
      <c r="M303" s="64"/>
      <c r="N303" s="65"/>
      <c r="O303" s="65"/>
      <c r="P303" s="65"/>
      <c r="Q303" s="65"/>
      <c r="R303" s="65"/>
      <c r="S303" s="65"/>
      <c r="T303" s="67">
        <v>10</v>
      </c>
      <c r="U303" s="67">
        <v>2562</v>
      </c>
      <c r="V303" s="68" t="s">
        <v>2228</v>
      </c>
      <c r="W303" s="69" t="e">
        <v>#REF!</v>
      </c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  <c r="AM303" s="70"/>
    </row>
    <row r="304" spans="1:39">
      <c r="A304" s="50"/>
      <c r="B304" s="52">
        <v>6680</v>
      </c>
      <c r="C304" s="53" t="s">
        <v>157</v>
      </c>
      <c r="D304" s="55" t="s">
        <v>1251</v>
      </c>
      <c r="E304" s="53">
        <v>55</v>
      </c>
      <c r="F304" s="56" t="s">
        <v>1252</v>
      </c>
      <c r="G304" s="57" t="s">
        <v>53</v>
      </c>
      <c r="H304" s="58">
        <v>4500</v>
      </c>
      <c r="I304" s="59"/>
      <c r="J304" s="60" t="s">
        <v>2485</v>
      </c>
      <c r="K304" s="80" t="s">
        <v>2485</v>
      </c>
      <c r="L304" s="62"/>
      <c r="M304" s="64"/>
      <c r="N304" s="65"/>
      <c r="O304" s="65"/>
      <c r="P304" s="65"/>
      <c r="Q304" s="65"/>
      <c r="R304" s="65"/>
      <c r="S304" s="65"/>
      <c r="T304" s="67">
        <v>10</v>
      </c>
      <c r="U304" s="67">
        <v>2563</v>
      </c>
      <c r="V304" s="68" t="s">
        <v>2228</v>
      </c>
      <c r="W304" s="69" t="e">
        <v>#REF!</v>
      </c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</row>
    <row r="305" spans="1:39">
      <c r="A305" s="50"/>
      <c r="B305" s="52">
        <v>6685</v>
      </c>
      <c r="C305" s="53" t="s">
        <v>37</v>
      </c>
      <c r="D305" s="55" t="s">
        <v>1253</v>
      </c>
      <c r="E305" s="53">
        <v>58</v>
      </c>
      <c r="F305" s="56" t="s">
        <v>1254</v>
      </c>
      <c r="G305" s="57" t="s">
        <v>78</v>
      </c>
      <c r="H305" s="58">
        <v>225000</v>
      </c>
      <c r="I305" s="59"/>
      <c r="J305" s="60" t="s">
        <v>2487</v>
      </c>
      <c r="K305" s="80" t="s">
        <v>2487</v>
      </c>
      <c r="L305" s="62"/>
      <c r="M305" s="64"/>
      <c r="N305" s="65"/>
      <c r="O305" s="65"/>
      <c r="P305" s="65"/>
      <c r="Q305" s="65"/>
      <c r="R305" s="65"/>
      <c r="S305" s="65"/>
      <c r="T305" s="67"/>
      <c r="U305" s="67">
        <v>2556</v>
      </c>
      <c r="V305" s="68" t="s">
        <v>2228</v>
      </c>
      <c r="W305" s="69" t="e">
        <v>#REF!</v>
      </c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  <c r="AL305" s="70"/>
      <c r="AM305" s="70"/>
    </row>
    <row r="306" spans="1:39">
      <c r="A306" s="50"/>
      <c r="B306" s="52">
        <v>6695</v>
      </c>
      <c r="C306" s="53" t="s">
        <v>157</v>
      </c>
      <c r="D306" s="55" t="s">
        <v>1255</v>
      </c>
      <c r="E306" s="53">
        <v>52</v>
      </c>
      <c r="F306" s="56" t="s">
        <v>1256</v>
      </c>
      <c r="G306" s="57" t="s">
        <v>78</v>
      </c>
      <c r="H306" s="58">
        <v>9500</v>
      </c>
      <c r="I306" s="59"/>
      <c r="J306" s="60" t="s">
        <v>2489</v>
      </c>
      <c r="K306" s="61"/>
      <c r="L306" s="62"/>
      <c r="M306" s="64"/>
      <c r="N306" s="65"/>
      <c r="O306" s="65"/>
      <c r="P306" s="65"/>
      <c r="Q306" s="65"/>
      <c r="R306" s="65"/>
      <c r="S306" s="65"/>
      <c r="T306" s="67"/>
      <c r="U306" s="67"/>
      <c r="V306" s="68" t="s">
        <v>2228</v>
      </c>
      <c r="W306" s="69" t="e">
        <v>#REF!</v>
      </c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/>
      <c r="AM306" s="70"/>
    </row>
    <row r="307" spans="1:39">
      <c r="A307" s="97"/>
      <c r="B307" s="97">
        <v>6800</v>
      </c>
      <c r="C307" s="89"/>
      <c r="D307" s="365" t="s">
        <v>4101</v>
      </c>
      <c r="E307" s="37"/>
      <c r="F307" s="97"/>
      <c r="G307" s="97"/>
      <c r="H307" s="97"/>
      <c r="I307" s="89"/>
      <c r="J307" s="89"/>
      <c r="K307" s="37"/>
      <c r="L307" s="37"/>
      <c r="M307" s="97"/>
      <c r="N307" s="97"/>
      <c r="O307" s="97"/>
      <c r="P307" s="89"/>
      <c r="Q307" s="89"/>
      <c r="R307" s="37"/>
      <c r="S307" s="37"/>
      <c r="T307" s="97"/>
      <c r="U307" s="97"/>
      <c r="V307" s="37" t="s">
        <v>2234</v>
      </c>
      <c r="W307" s="37">
        <v>4</v>
      </c>
      <c r="X307" s="89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</row>
    <row r="308" spans="1:39">
      <c r="A308" s="50"/>
      <c r="B308" s="52">
        <v>6810</v>
      </c>
      <c r="C308" s="53" t="s">
        <v>683</v>
      </c>
      <c r="D308" s="55" t="s">
        <v>1257</v>
      </c>
      <c r="E308" s="53">
        <v>53</v>
      </c>
      <c r="F308" s="56" t="s">
        <v>1258</v>
      </c>
      <c r="G308" s="57" t="s">
        <v>1259</v>
      </c>
      <c r="H308" s="58">
        <v>6500</v>
      </c>
      <c r="I308" s="59"/>
      <c r="J308" s="60" t="s">
        <v>2491</v>
      </c>
      <c r="K308" s="80" t="s">
        <v>2491</v>
      </c>
      <c r="L308" s="62"/>
      <c r="M308" s="64"/>
      <c r="N308" s="65"/>
      <c r="O308" s="65"/>
      <c r="P308" s="65"/>
      <c r="Q308" s="65"/>
      <c r="R308" s="65"/>
      <c r="S308" s="65"/>
      <c r="T308" s="67"/>
      <c r="U308" s="67"/>
      <c r="V308" s="68" t="s">
        <v>2234</v>
      </c>
      <c r="W308" s="69" t="e">
        <v>#REF!</v>
      </c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</row>
    <row r="309" spans="1:39">
      <c r="A309" s="50"/>
      <c r="B309" s="52">
        <v>6840</v>
      </c>
      <c r="C309" s="53" t="s">
        <v>191</v>
      </c>
      <c r="D309" s="55" t="s">
        <v>852</v>
      </c>
      <c r="E309" s="53">
        <v>54</v>
      </c>
      <c r="F309" s="56" t="s">
        <v>1260</v>
      </c>
      <c r="G309" s="57" t="s">
        <v>1261</v>
      </c>
      <c r="H309" s="58">
        <v>380</v>
      </c>
      <c r="I309" s="59"/>
      <c r="J309" s="60" t="s">
        <v>2492</v>
      </c>
      <c r="K309" s="80" t="s">
        <v>2492</v>
      </c>
      <c r="L309" s="62"/>
      <c r="M309" s="64"/>
      <c r="N309" s="65"/>
      <c r="O309" s="65"/>
      <c r="P309" s="65"/>
      <c r="Q309" s="65"/>
      <c r="R309" s="65"/>
      <c r="S309" s="65"/>
      <c r="T309" s="67"/>
      <c r="U309" s="67"/>
      <c r="V309" s="68" t="s">
        <v>2234</v>
      </c>
      <c r="W309" s="69" t="e">
        <v>#REF!</v>
      </c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</row>
    <row r="310" spans="1:39">
      <c r="A310" s="50"/>
      <c r="B310" s="52">
        <v>6840</v>
      </c>
      <c r="C310" s="53" t="s">
        <v>191</v>
      </c>
      <c r="D310" s="55" t="s">
        <v>1262</v>
      </c>
      <c r="E310" s="53">
        <v>58</v>
      </c>
      <c r="F310" s="56" t="s">
        <v>856</v>
      </c>
      <c r="G310" s="57" t="s">
        <v>1263</v>
      </c>
      <c r="H310" s="58">
        <v>750</v>
      </c>
      <c r="I310" s="59"/>
      <c r="J310" s="60" t="s">
        <v>2492</v>
      </c>
      <c r="K310" s="80" t="s">
        <v>2492</v>
      </c>
      <c r="L310" s="62"/>
      <c r="M310" s="64"/>
      <c r="N310" s="65"/>
      <c r="O310" s="65"/>
      <c r="P310" s="65"/>
      <c r="Q310" s="65"/>
      <c r="R310" s="65"/>
      <c r="S310" s="65"/>
      <c r="T310" s="67"/>
      <c r="U310" s="67"/>
      <c r="V310" s="68" t="s">
        <v>2234</v>
      </c>
      <c r="W310" s="69" t="e">
        <v>#REF!</v>
      </c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/>
      <c r="AL310" s="70"/>
      <c r="AM310" s="70"/>
    </row>
    <row r="311" spans="1:39">
      <c r="A311" s="50"/>
      <c r="B311" s="52">
        <v>6840</v>
      </c>
      <c r="C311" s="53" t="s">
        <v>191</v>
      </c>
      <c r="D311" s="55" t="s">
        <v>1264</v>
      </c>
      <c r="E311" s="53">
        <v>58</v>
      </c>
      <c r="F311" s="56" t="s">
        <v>1265</v>
      </c>
      <c r="G311" s="57" t="s">
        <v>1266</v>
      </c>
      <c r="H311" s="58">
        <v>1000</v>
      </c>
      <c r="I311" s="59"/>
      <c r="J311" s="60" t="s">
        <v>2492</v>
      </c>
      <c r="K311" s="80" t="s">
        <v>2492</v>
      </c>
      <c r="L311" s="62"/>
      <c r="M311" s="64"/>
      <c r="N311" s="65"/>
      <c r="O311" s="65"/>
      <c r="P311" s="65"/>
      <c r="Q311" s="65"/>
      <c r="R311" s="65"/>
      <c r="S311" s="65"/>
      <c r="T311" s="67"/>
      <c r="U311" s="67"/>
      <c r="V311" s="68" t="s">
        <v>2234</v>
      </c>
      <c r="W311" s="69" t="e">
        <v>#REF!</v>
      </c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  <c r="AM311" s="70"/>
    </row>
    <row r="312" spans="1:39">
      <c r="A312" s="97"/>
      <c r="B312" s="97">
        <v>7200</v>
      </c>
      <c r="C312" s="89"/>
      <c r="D312" s="365" t="s">
        <v>4102</v>
      </c>
      <c r="E312" s="37"/>
      <c r="F312" s="97"/>
      <c r="G312" s="97"/>
      <c r="H312" s="97"/>
      <c r="I312" s="89"/>
      <c r="J312" s="89"/>
      <c r="K312" s="37"/>
      <c r="L312" s="37"/>
      <c r="M312" s="97"/>
      <c r="N312" s="97"/>
      <c r="O312" s="97"/>
      <c r="P312" s="89"/>
      <c r="Q312" s="89"/>
      <c r="R312" s="37"/>
      <c r="S312" s="37"/>
      <c r="T312" s="97"/>
      <c r="U312" s="97"/>
      <c r="V312" s="37" t="s">
        <v>2242</v>
      </c>
      <c r="W312" s="37">
        <v>0</v>
      </c>
      <c r="X312" s="89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</row>
    <row r="313" spans="1:39">
      <c r="A313" s="97"/>
      <c r="B313" s="97">
        <v>8400</v>
      </c>
      <c r="C313" s="89"/>
      <c r="D313" s="365" t="s">
        <v>4103</v>
      </c>
      <c r="E313" s="37"/>
      <c r="F313" s="97"/>
      <c r="G313" s="97"/>
      <c r="H313" s="97"/>
      <c r="I313" s="89"/>
      <c r="J313" s="89"/>
      <c r="K313" s="37"/>
      <c r="L313" s="37"/>
      <c r="M313" s="97"/>
      <c r="N313" s="97"/>
      <c r="O313" s="97"/>
      <c r="P313" s="89"/>
      <c r="Q313" s="89"/>
      <c r="R313" s="37"/>
      <c r="S313" s="37"/>
      <c r="T313" s="97"/>
      <c r="U313" s="97"/>
      <c r="V313" s="37" t="s">
        <v>2269</v>
      </c>
      <c r="W313" s="37">
        <v>3</v>
      </c>
      <c r="X313" s="89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</row>
    <row r="314" spans="1:39">
      <c r="A314" s="50"/>
      <c r="B314" s="52">
        <v>8415</v>
      </c>
      <c r="C314" s="53" t="s">
        <v>683</v>
      </c>
      <c r="D314" s="55" t="s">
        <v>1267</v>
      </c>
      <c r="E314" s="53">
        <v>61</v>
      </c>
      <c r="F314" s="56" t="s">
        <v>741</v>
      </c>
      <c r="G314" s="57" t="s">
        <v>53</v>
      </c>
      <c r="H314" s="58">
        <v>140000</v>
      </c>
      <c r="I314" s="59"/>
      <c r="J314" s="60" t="s">
        <v>2508</v>
      </c>
      <c r="K314" s="61"/>
      <c r="L314" s="62"/>
      <c r="M314" s="64"/>
      <c r="N314" s="65"/>
      <c r="O314" s="65"/>
      <c r="P314" s="65"/>
      <c r="Q314" s="65"/>
      <c r="R314" s="65"/>
      <c r="S314" s="65"/>
      <c r="T314" s="67"/>
      <c r="U314" s="67"/>
      <c r="V314" s="68" t="s">
        <v>2269</v>
      </c>
      <c r="W314" s="69">
        <v>3</v>
      </c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</row>
    <row r="315" spans="1:39">
      <c r="A315" s="50"/>
      <c r="B315" s="52">
        <v>8415</v>
      </c>
      <c r="C315" s="53" t="s">
        <v>683</v>
      </c>
      <c r="D315" s="55" t="s">
        <v>1268</v>
      </c>
      <c r="E315" s="53">
        <v>61</v>
      </c>
      <c r="F315" s="56" t="s">
        <v>745</v>
      </c>
      <c r="G315" s="57" t="s">
        <v>53</v>
      </c>
      <c r="H315" s="58">
        <v>120000</v>
      </c>
      <c r="I315" s="59"/>
      <c r="J315" s="60" t="s">
        <v>2508</v>
      </c>
      <c r="K315" s="61"/>
      <c r="L315" s="62"/>
      <c r="M315" s="64"/>
      <c r="N315" s="65"/>
      <c r="O315" s="65"/>
      <c r="P315" s="65"/>
      <c r="Q315" s="65"/>
      <c r="R315" s="65"/>
      <c r="S315" s="65"/>
      <c r="T315" s="67"/>
      <c r="U315" s="67"/>
      <c r="V315" s="68" t="s">
        <v>2269</v>
      </c>
      <c r="W315" s="69" t="e">
        <v>#REF!</v>
      </c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</row>
    <row r="316" spans="1:39">
      <c r="A316" s="50"/>
      <c r="B316" s="52">
        <v>8415</v>
      </c>
      <c r="C316" s="53" t="s">
        <v>683</v>
      </c>
      <c r="D316" s="55" t="s">
        <v>1269</v>
      </c>
      <c r="E316" s="53">
        <v>52</v>
      </c>
      <c r="F316" s="56" t="s">
        <v>1270</v>
      </c>
      <c r="G316" s="57" t="s">
        <v>53</v>
      </c>
      <c r="H316" s="58">
        <v>33000</v>
      </c>
      <c r="I316" s="59"/>
      <c r="J316" s="60" t="s">
        <v>2508</v>
      </c>
      <c r="K316" s="80" t="s">
        <v>2508</v>
      </c>
      <c r="L316" s="62"/>
      <c r="M316" s="64"/>
      <c r="N316" s="65"/>
      <c r="O316" s="65"/>
      <c r="P316" s="65"/>
      <c r="Q316" s="65"/>
      <c r="R316" s="65"/>
      <c r="S316" s="65"/>
      <c r="T316" s="67">
        <v>15</v>
      </c>
      <c r="U316" s="67">
        <v>2565</v>
      </c>
      <c r="V316" s="68" t="s">
        <v>2269</v>
      </c>
      <c r="W316" s="69">
        <v>-1</v>
      </c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</row>
    <row r="317" spans="1:39">
      <c r="A317" s="97"/>
      <c r="B317" s="97">
        <v>9900</v>
      </c>
      <c r="C317" s="89"/>
      <c r="D317" s="365" t="s">
        <v>4104</v>
      </c>
      <c r="E317" s="37"/>
      <c r="F317" s="97"/>
      <c r="G317" s="97"/>
      <c r="H317" s="97"/>
      <c r="I317" s="89"/>
      <c r="J317" s="89"/>
      <c r="K317" s="37"/>
      <c r="L317" s="37"/>
      <c r="M317" s="97"/>
      <c r="N317" s="97"/>
      <c r="O317" s="97"/>
      <c r="P317" s="89"/>
      <c r="Q317" s="89"/>
      <c r="R317" s="37"/>
      <c r="S317" s="37"/>
      <c r="T317" s="97"/>
      <c r="U317" s="97"/>
      <c r="V317" s="37" t="s">
        <v>2301</v>
      </c>
      <c r="W317" s="37">
        <v>2</v>
      </c>
      <c r="X317" s="89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</row>
    <row r="318" spans="1:39">
      <c r="A318" s="50"/>
      <c r="B318" s="52">
        <v>9999</v>
      </c>
      <c r="C318" s="53" t="s">
        <v>191</v>
      </c>
      <c r="D318" s="55" t="s">
        <v>1274</v>
      </c>
      <c r="E318" s="53">
        <v>54</v>
      </c>
      <c r="F318" s="56" t="s">
        <v>1275</v>
      </c>
      <c r="G318" s="57" t="s">
        <v>358</v>
      </c>
      <c r="H318" s="58">
        <v>45000</v>
      </c>
      <c r="I318" s="59"/>
      <c r="J318" s="60" t="s">
        <v>1483</v>
      </c>
      <c r="K318" s="80" t="s">
        <v>1483</v>
      </c>
      <c r="L318" s="62"/>
      <c r="M318" s="64"/>
      <c r="N318" s="65"/>
      <c r="O318" s="65"/>
      <c r="P318" s="65"/>
      <c r="Q318" s="65"/>
      <c r="R318" s="65"/>
      <c r="S318" s="65"/>
      <c r="T318" s="67">
        <v>30</v>
      </c>
      <c r="U318" s="67">
        <v>2582</v>
      </c>
      <c r="V318" s="68" t="s">
        <v>2301</v>
      </c>
      <c r="W318" s="69" t="e">
        <v>#REF!</v>
      </c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  <c r="AM318" s="70"/>
    </row>
    <row r="319" spans="1:39">
      <c r="A319" s="50"/>
      <c r="B319" s="52">
        <v>9999</v>
      </c>
      <c r="C319" s="53" t="s">
        <v>63</v>
      </c>
      <c r="D319" s="55" t="s">
        <v>1278</v>
      </c>
      <c r="E319" s="53">
        <v>58</v>
      </c>
      <c r="F319" s="56" t="s">
        <v>1279</v>
      </c>
      <c r="G319" s="57" t="s">
        <v>28</v>
      </c>
      <c r="H319" s="58">
        <v>9600000</v>
      </c>
      <c r="I319" s="59"/>
      <c r="J319" s="60" t="s">
        <v>4105</v>
      </c>
      <c r="K319" s="61"/>
      <c r="L319" s="62"/>
      <c r="M319" s="64"/>
      <c r="N319" s="65"/>
      <c r="O319" s="65"/>
      <c r="P319" s="65"/>
      <c r="Q319" s="65"/>
      <c r="R319" s="65"/>
      <c r="S319" s="65"/>
      <c r="T319" s="67">
        <v>20</v>
      </c>
      <c r="U319" s="67">
        <v>2576</v>
      </c>
      <c r="V319" s="68" t="s">
        <v>2301</v>
      </c>
      <c r="W319" s="69" t="e">
        <v>#REF!</v>
      </c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  <c r="AL319" s="70"/>
      <c r="AM319" s="70"/>
    </row>
    <row r="320" spans="1:39">
      <c r="A320" s="97"/>
      <c r="B320" s="97">
        <v>10000</v>
      </c>
      <c r="C320" s="89"/>
      <c r="D320" s="98"/>
      <c r="E320" s="37"/>
      <c r="F320" s="97"/>
      <c r="G320" s="97"/>
      <c r="H320" s="97"/>
      <c r="I320" s="89"/>
      <c r="J320" s="89"/>
      <c r="K320" s="37"/>
      <c r="L320" s="37"/>
      <c r="M320" s="97"/>
      <c r="N320" s="97"/>
      <c r="O320" s="97"/>
      <c r="P320" s="89"/>
      <c r="Q320" s="89"/>
      <c r="R320" s="37"/>
      <c r="S320" s="37"/>
      <c r="T320" s="97"/>
      <c r="U320" s="97"/>
      <c r="V320" s="37">
        <v>100</v>
      </c>
      <c r="W320" s="37">
        <v>92</v>
      </c>
      <c r="X320" s="89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</row>
    <row r="321" spans="1:39">
      <c r="A321" s="50"/>
      <c r="B321" s="52" t="s">
        <v>1282</v>
      </c>
      <c r="C321" s="53" t="s">
        <v>25</v>
      </c>
      <c r="D321" s="55" t="s">
        <v>26</v>
      </c>
      <c r="E321" s="53"/>
      <c r="F321" s="56" t="s">
        <v>993</v>
      </c>
      <c r="G321" s="57" t="s">
        <v>48</v>
      </c>
      <c r="H321" s="58">
        <v>14800</v>
      </c>
      <c r="I321" s="59"/>
      <c r="J321" s="60" t="s">
        <v>4106</v>
      </c>
      <c r="K321" s="61"/>
      <c r="L321" s="62"/>
      <c r="M321" s="64"/>
      <c r="N321" s="65"/>
      <c r="O321" s="65"/>
      <c r="P321" s="65"/>
      <c r="Q321" s="65"/>
      <c r="R321" s="65"/>
      <c r="S321" s="65"/>
      <c r="T321" s="67"/>
      <c r="U321" s="67"/>
      <c r="V321" s="68" t="s">
        <v>4107</v>
      </c>
      <c r="W321" s="69" t="e">
        <v>#REF!</v>
      </c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  <c r="AM321" s="70"/>
    </row>
    <row r="322" spans="1:39">
      <c r="A322" s="50"/>
      <c r="B322" s="52" t="s">
        <v>1283</v>
      </c>
      <c r="C322" s="53" t="s">
        <v>25</v>
      </c>
      <c r="D322" s="55" t="s">
        <v>26</v>
      </c>
      <c r="E322" s="53"/>
      <c r="F322" s="56" t="s">
        <v>782</v>
      </c>
      <c r="G322" s="57" t="s">
        <v>78</v>
      </c>
      <c r="H322" s="58">
        <v>670000</v>
      </c>
      <c r="I322" s="59"/>
      <c r="J322" s="60" t="s">
        <v>4106</v>
      </c>
      <c r="K322" s="61"/>
      <c r="L322" s="62"/>
      <c r="M322" s="64"/>
      <c r="N322" s="65"/>
      <c r="O322" s="65"/>
      <c r="P322" s="65"/>
      <c r="Q322" s="65"/>
      <c r="R322" s="65"/>
      <c r="S322" s="65"/>
      <c r="T322" s="67"/>
      <c r="U322" s="67"/>
      <c r="V322" s="68" t="s">
        <v>4107</v>
      </c>
      <c r="W322" s="69" t="e">
        <v>#REF!</v>
      </c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</row>
    <row r="323" spans="1:39">
      <c r="A323" s="50"/>
      <c r="B323" s="52" t="s">
        <v>1284</v>
      </c>
      <c r="C323" s="53" t="s">
        <v>25</v>
      </c>
      <c r="D323" s="55" t="s">
        <v>26</v>
      </c>
      <c r="E323" s="53"/>
      <c r="F323" s="56" t="s">
        <v>1086</v>
      </c>
      <c r="G323" s="57" t="s">
        <v>78</v>
      </c>
      <c r="H323" s="58">
        <v>150000</v>
      </c>
      <c r="I323" s="59"/>
      <c r="J323" s="60" t="s">
        <v>4106</v>
      </c>
      <c r="K323" s="61"/>
      <c r="L323" s="62"/>
      <c r="M323" s="64"/>
      <c r="N323" s="65"/>
      <c r="O323" s="65"/>
      <c r="P323" s="65"/>
      <c r="Q323" s="65"/>
      <c r="R323" s="65"/>
      <c r="S323" s="65"/>
      <c r="T323" s="67"/>
      <c r="U323" s="67"/>
      <c r="V323" s="68" t="s">
        <v>4107</v>
      </c>
      <c r="W323" s="69" t="e">
        <v>#REF!</v>
      </c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</row>
    <row r="324" spans="1:39">
      <c r="A324" s="50"/>
      <c r="B324" s="52" t="s">
        <v>1287</v>
      </c>
      <c r="C324" s="53" t="s">
        <v>25</v>
      </c>
      <c r="D324" s="55" t="s">
        <v>26</v>
      </c>
      <c r="E324" s="53"/>
      <c r="F324" s="56" t="s">
        <v>1288</v>
      </c>
      <c r="G324" s="57" t="s">
        <v>78</v>
      </c>
      <c r="H324" s="58">
        <v>246000</v>
      </c>
      <c r="I324" s="59"/>
      <c r="J324" s="60" t="s">
        <v>4106</v>
      </c>
      <c r="K324" s="61"/>
      <c r="L324" s="62"/>
      <c r="M324" s="64"/>
      <c r="N324" s="65"/>
      <c r="O324" s="65"/>
      <c r="P324" s="65"/>
      <c r="Q324" s="65"/>
      <c r="R324" s="65"/>
      <c r="S324" s="65"/>
      <c r="T324" s="67"/>
      <c r="U324" s="67"/>
      <c r="V324" s="68" t="s">
        <v>4107</v>
      </c>
      <c r="W324" s="69" t="e">
        <v>#REF!</v>
      </c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  <c r="AM324" s="70"/>
    </row>
    <row r="325" spans="1:39">
      <c r="A325" s="50"/>
      <c r="B325" s="52" t="s">
        <v>1289</v>
      </c>
      <c r="C325" s="53" t="s">
        <v>25</v>
      </c>
      <c r="D325" s="55" t="s">
        <v>26</v>
      </c>
      <c r="E325" s="53"/>
      <c r="F325" s="56" t="s">
        <v>1290</v>
      </c>
      <c r="G325" s="57" t="s">
        <v>78</v>
      </c>
      <c r="H325" s="58">
        <v>1247000</v>
      </c>
      <c r="I325" s="59"/>
      <c r="J325" s="60" t="s">
        <v>4106</v>
      </c>
      <c r="K325" s="61"/>
      <c r="L325" s="62"/>
      <c r="M325" s="64"/>
      <c r="N325" s="65"/>
      <c r="O325" s="65"/>
      <c r="P325" s="65"/>
      <c r="Q325" s="65"/>
      <c r="R325" s="65"/>
      <c r="S325" s="65"/>
      <c r="T325" s="67"/>
      <c r="U325" s="67"/>
      <c r="V325" s="68" t="s">
        <v>4107</v>
      </c>
      <c r="W325" s="69" t="e">
        <v>#REF!</v>
      </c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  <c r="AM325" s="70"/>
    </row>
    <row r="326" spans="1:39">
      <c r="A326" s="50"/>
      <c r="B326" s="52" t="s">
        <v>1293</v>
      </c>
      <c r="C326" s="53" t="s">
        <v>25</v>
      </c>
      <c r="D326" s="55" t="s">
        <v>26</v>
      </c>
      <c r="E326" s="53"/>
      <c r="F326" s="56" t="s">
        <v>1098</v>
      </c>
      <c r="G326" s="57" t="s">
        <v>78</v>
      </c>
      <c r="H326" s="58">
        <v>408000</v>
      </c>
      <c r="I326" s="59"/>
      <c r="J326" s="60" t="s">
        <v>4106</v>
      </c>
      <c r="K326" s="61"/>
      <c r="L326" s="62"/>
      <c r="M326" s="64"/>
      <c r="N326" s="65"/>
      <c r="O326" s="65"/>
      <c r="P326" s="65"/>
      <c r="Q326" s="65"/>
      <c r="R326" s="65"/>
      <c r="S326" s="65"/>
      <c r="T326" s="67"/>
      <c r="U326" s="67"/>
      <c r="V326" s="68" t="s">
        <v>4107</v>
      </c>
      <c r="W326" s="69" t="e">
        <v>#REF!</v>
      </c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  <c r="AM326" s="70"/>
    </row>
    <row r="327" spans="1:39">
      <c r="A327" s="50"/>
      <c r="B327" s="52" t="s">
        <v>1294</v>
      </c>
      <c r="C327" s="53" t="s">
        <v>25</v>
      </c>
      <c r="D327" s="55" t="s">
        <v>26</v>
      </c>
      <c r="E327" s="53"/>
      <c r="F327" s="56" t="s">
        <v>1295</v>
      </c>
      <c r="G327" s="57" t="s">
        <v>78</v>
      </c>
      <c r="H327" s="58">
        <v>1700000</v>
      </c>
      <c r="I327" s="59"/>
      <c r="J327" s="60" t="s">
        <v>4106</v>
      </c>
      <c r="K327" s="61"/>
      <c r="L327" s="62"/>
      <c r="M327" s="64"/>
      <c r="N327" s="65"/>
      <c r="O327" s="65"/>
      <c r="P327" s="65"/>
      <c r="Q327" s="65"/>
      <c r="R327" s="65"/>
      <c r="S327" s="65"/>
      <c r="T327" s="67"/>
      <c r="U327" s="67"/>
      <c r="V327" s="68" t="s">
        <v>4107</v>
      </c>
      <c r="W327" s="69" t="e">
        <v>#REF!</v>
      </c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</row>
    <row r="328" spans="1:39">
      <c r="A328" s="50"/>
      <c r="B328" s="52" t="s">
        <v>1296</v>
      </c>
      <c r="C328" s="53" t="s">
        <v>25</v>
      </c>
      <c r="D328" s="55" t="s">
        <v>26</v>
      </c>
      <c r="E328" s="53"/>
      <c r="F328" s="56" t="s">
        <v>1100</v>
      </c>
      <c r="G328" s="57" t="s">
        <v>78</v>
      </c>
      <c r="H328" s="58">
        <v>23300</v>
      </c>
      <c r="I328" s="59"/>
      <c r="J328" s="60" t="s">
        <v>4106</v>
      </c>
      <c r="K328" s="61"/>
      <c r="L328" s="62"/>
      <c r="M328" s="64"/>
      <c r="N328" s="65"/>
      <c r="O328" s="65"/>
      <c r="P328" s="65"/>
      <c r="Q328" s="65"/>
      <c r="R328" s="65"/>
      <c r="S328" s="65"/>
      <c r="T328" s="67"/>
      <c r="U328" s="67"/>
      <c r="V328" s="68" t="s">
        <v>4107</v>
      </c>
      <c r="W328" s="69" t="e">
        <v>#REF!</v>
      </c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/>
      <c r="AM328" s="70"/>
    </row>
    <row r="329" spans="1:39">
      <c r="A329" s="50"/>
      <c r="B329" s="52" t="s">
        <v>140</v>
      </c>
      <c r="C329" s="53" t="s">
        <v>25</v>
      </c>
      <c r="D329" s="55" t="s">
        <v>26</v>
      </c>
      <c r="E329" s="53"/>
      <c r="F329" s="56" t="s">
        <v>1102</v>
      </c>
      <c r="G329" s="57" t="s">
        <v>78</v>
      </c>
      <c r="H329" s="58">
        <v>2364000</v>
      </c>
      <c r="I329" s="59"/>
      <c r="J329" s="60" t="s">
        <v>4106</v>
      </c>
      <c r="K329" s="61"/>
      <c r="L329" s="62"/>
      <c r="M329" s="64"/>
      <c r="N329" s="65"/>
      <c r="O329" s="65"/>
      <c r="P329" s="65"/>
      <c r="Q329" s="65"/>
      <c r="R329" s="65"/>
      <c r="S329" s="65"/>
      <c r="T329" s="67"/>
      <c r="U329" s="67"/>
      <c r="V329" s="68" t="s">
        <v>4107</v>
      </c>
      <c r="W329" s="69" t="e">
        <v>#REF!</v>
      </c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</row>
    <row r="330" spans="1:39">
      <c r="A330" s="50"/>
      <c r="B330" s="52" t="s">
        <v>1297</v>
      </c>
      <c r="C330" s="53" t="s">
        <v>25</v>
      </c>
      <c r="D330" s="55" t="s">
        <v>26</v>
      </c>
      <c r="E330" s="53"/>
      <c r="F330" s="56" t="s">
        <v>1104</v>
      </c>
      <c r="G330" s="57" t="s">
        <v>78</v>
      </c>
      <c r="H330" s="58">
        <v>3350000</v>
      </c>
      <c r="I330" s="59"/>
      <c r="J330" s="60" t="s">
        <v>4106</v>
      </c>
      <c r="K330" s="61"/>
      <c r="L330" s="62"/>
      <c r="M330" s="64"/>
      <c r="N330" s="65"/>
      <c r="O330" s="65"/>
      <c r="P330" s="65"/>
      <c r="Q330" s="65"/>
      <c r="R330" s="65"/>
      <c r="S330" s="65"/>
      <c r="T330" s="67"/>
      <c r="U330" s="67"/>
      <c r="V330" s="68" t="s">
        <v>4107</v>
      </c>
      <c r="W330" s="69" t="e">
        <v>#REF!</v>
      </c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</row>
    <row r="331" spans="1:39">
      <c r="A331" s="50"/>
      <c r="B331" s="52" t="s">
        <v>1298</v>
      </c>
      <c r="C331" s="53" t="s">
        <v>25</v>
      </c>
      <c r="D331" s="55" t="s">
        <v>26</v>
      </c>
      <c r="E331" s="53"/>
      <c r="F331" s="56" t="s">
        <v>1299</v>
      </c>
      <c r="G331" s="57" t="s">
        <v>78</v>
      </c>
      <c r="H331" s="58">
        <v>500000</v>
      </c>
      <c r="I331" s="59"/>
      <c r="J331" s="60" t="s">
        <v>4106</v>
      </c>
      <c r="K331" s="61"/>
      <c r="L331" s="62"/>
      <c r="M331" s="64"/>
      <c r="N331" s="65"/>
      <c r="O331" s="65"/>
      <c r="P331" s="65"/>
      <c r="Q331" s="65"/>
      <c r="R331" s="65"/>
      <c r="S331" s="65"/>
      <c r="T331" s="67"/>
      <c r="U331" s="67"/>
      <c r="V331" s="68" t="s">
        <v>4107</v>
      </c>
      <c r="W331" s="69" t="e">
        <v>#REF!</v>
      </c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</row>
    <row r="332" spans="1:39">
      <c r="A332" s="50"/>
      <c r="B332" s="52" t="s">
        <v>1300</v>
      </c>
      <c r="C332" s="53" t="s">
        <v>25</v>
      </c>
      <c r="D332" s="55" t="s">
        <v>26</v>
      </c>
      <c r="E332" s="53"/>
      <c r="F332" s="56" t="s">
        <v>787</v>
      </c>
      <c r="G332" s="57" t="s">
        <v>78</v>
      </c>
      <c r="H332" s="58">
        <v>52000</v>
      </c>
      <c r="I332" s="59"/>
      <c r="J332" s="60" t="s">
        <v>4106</v>
      </c>
      <c r="K332" s="61"/>
      <c r="L332" s="62"/>
      <c r="M332" s="64"/>
      <c r="N332" s="65"/>
      <c r="O332" s="65"/>
      <c r="P332" s="65"/>
      <c r="Q332" s="65"/>
      <c r="R332" s="65"/>
      <c r="S332" s="65"/>
      <c r="T332" s="67"/>
      <c r="U332" s="67"/>
      <c r="V332" s="68" t="s">
        <v>4107</v>
      </c>
      <c r="W332" s="69" t="e">
        <v>#REF!</v>
      </c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  <c r="AL332" s="70"/>
      <c r="AM332" s="70"/>
    </row>
    <row r="333" spans="1:39">
      <c r="A333" s="50"/>
      <c r="B333" s="52" t="s">
        <v>1301</v>
      </c>
      <c r="C333" s="53" t="s">
        <v>25</v>
      </c>
      <c r="D333" s="55" t="s">
        <v>26</v>
      </c>
      <c r="E333" s="53"/>
      <c r="F333" s="56" t="s">
        <v>1302</v>
      </c>
      <c r="G333" s="57" t="s">
        <v>78</v>
      </c>
      <c r="H333" s="58">
        <v>8300</v>
      </c>
      <c r="I333" s="59"/>
      <c r="J333" s="60" t="s">
        <v>4106</v>
      </c>
      <c r="K333" s="61"/>
      <c r="L333" s="62"/>
      <c r="M333" s="64"/>
      <c r="N333" s="65"/>
      <c r="O333" s="65"/>
      <c r="P333" s="65"/>
      <c r="Q333" s="65"/>
      <c r="R333" s="65"/>
      <c r="S333" s="65"/>
      <c r="T333" s="67"/>
      <c r="U333" s="67"/>
      <c r="V333" s="68" t="s">
        <v>4107</v>
      </c>
      <c r="W333" s="69" t="e">
        <v>#REF!</v>
      </c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  <c r="AM333" s="70"/>
    </row>
    <row r="334" spans="1:39">
      <c r="A334" s="50"/>
      <c r="B334" s="52" t="s">
        <v>1303</v>
      </c>
      <c r="C334" s="53" t="s">
        <v>25</v>
      </c>
      <c r="D334" s="55" t="s">
        <v>26</v>
      </c>
      <c r="E334" s="53"/>
      <c r="F334" s="56" t="s">
        <v>1304</v>
      </c>
      <c r="G334" s="57" t="s">
        <v>78</v>
      </c>
      <c r="H334" s="58">
        <v>9300</v>
      </c>
      <c r="I334" s="59"/>
      <c r="J334" s="60" t="s">
        <v>4106</v>
      </c>
      <c r="K334" s="61"/>
      <c r="L334" s="62"/>
      <c r="M334" s="64"/>
      <c r="N334" s="65"/>
      <c r="O334" s="65"/>
      <c r="P334" s="65"/>
      <c r="Q334" s="65"/>
      <c r="R334" s="65"/>
      <c r="S334" s="65"/>
      <c r="T334" s="67"/>
      <c r="U334" s="67"/>
      <c r="V334" s="68" t="s">
        <v>4107</v>
      </c>
      <c r="W334" s="69" t="e">
        <v>#REF!</v>
      </c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/>
      <c r="AM334" s="70"/>
    </row>
    <row r="335" spans="1:39">
      <c r="A335" s="50"/>
      <c r="B335" s="52" t="s">
        <v>1305</v>
      </c>
      <c r="C335" s="53" t="s">
        <v>25</v>
      </c>
      <c r="D335" s="55" t="s">
        <v>26</v>
      </c>
      <c r="E335" s="53"/>
      <c r="F335" s="56" t="s">
        <v>1306</v>
      </c>
      <c r="G335" s="57" t="s">
        <v>78</v>
      </c>
      <c r="H335" s="58">
        <v>7600</v>
      </c>
      <c r="I335" s="59"/>
      <c r="J335" s="60" t="s">
        <v>4106</v>
      </c>
      <c r="K335" s="61"/>
      <c r="L335" s="62"/>
      <c r="M335" s="64"/>
      <c r="N335" s="65"/>
      <c r="O335" s="65"/>
      <c r="P335" s="65"/>
      <c r="Q335" s="65"/>
      <c r="R335" s="65"/>
      <c r="S335" s="65"/>
      <c r="T335" s="67"/>
      <c r="U335" s="67"/>
      <c r="V335" s="68" t="s">
        <v>4107</v>
      </c>
      <c r="W335" s="69" t="e">
        <v>#REF!</v>
      </c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/>
      <c r="AM335" s="70"/>
    </row>
    <row r="336" spans="1:39">
      <c r="A336" s="50"/>
      <c r="B336" s="52" t="s">
        <v>1307</v>
      </c>
      <c r="C336" s="53" t="s">
        <v>25</v>
      </c>
      <c r="D336" s="55" t="s">
        <v>26</v>
      </c>
      <c r="E336" s="53"/>
      <c r="F336" s="56" t="s">
        <v>1308</v>
      </c>
      <c r="G336" s="57" t="s">
        <v>78</v>
      </c>
      <c r="H336" s="58">
        <v>20000</v>
      </c>
      <c r="I336" s="59"/>
      <c r="J336" s="60" t="s">
        <v>4106</v>
      </c>
      <c r="K336" s="61"/>
      <c r="L336" s="62"/>
      <c r="M336" s="64"/>
      <c r="N336" s="65"/>
      <c r="O336" s="65"/>
      <c r="P336" s="65"/>
      <c r="Q336" s="65"/>
      <c r="R336" s="65"/>
      <c r="S336" s="65"/>
      <c r="T336" s="67"/>
      <c r="U336" s="67"/>
      <c r="V336" s="68" t="s">
        <v>4107</v>
      </c>
      <c r="W336" s="69" t="e">
        <v>#REF!</v>
      </c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  <c r="AL336" s="70"/>
      <c r="AM336" s="70"/>
    </row>
    <row r="337" spans="1:39">
      <c r="A337" s="50"/>
      <c r="B337" s="52" t="s">
        <v>1309</v>
      </c>
      <c r="C337" s="53" t="s">
        <v>25</v>
      </c>
      <c r="D337" s="55" t="s">
        <v>26</v>
      </c>
      <c r="E337" s="53"/>
      <c r="F337" s="56" t="s">
        <v>1310</v>
      </c>
      <c r="G337" s="57" t="s">
        <v>48</v>
      </c>
      <c r="H337" s="58">
        <v>5500</v>
      </c>
      <c r="I337" s="59"/>
      <c r="J337" s="60" t="s">
        <v>4106</v>
      </c>
      <c r="K337" s="61"/>
      <c r="L337" s="62"/>
      <c r="M337" s="64"/>
      <c r="N337" s="65"/>
      <c r="O337" s="65"/>
      <c r="P337" s="65"/>
      <c r="Q337" s="65"/>
      <c r="R337" s="65"/>
      <c r="S337" s="65"/>
      <c r="T337" s="67"/>
      <c r="U337" s="67"/>
      <c r="V337" s="68" t="s">
        <v>4107</v>
      </c>
      <c r="W337" s="69" t="e">
        <v>#REF!</v>
      </c>
      <c r="X337" s="70"/>
      <c r="Y337" s="70"/>
      <c r="Z337" s="70"/>
      <c r="AA337" s="70"/>
      <c r="AB337" s="70"/>
      <c r="AC337" s="70"/>
      <c r="AD337" s="70"/>
      <c r="AE337" s="70"/>
      <c r="AF337" s="70"/>
      <c r="AG337" s="70"/>
      <c r="AH337" s="70"/>
      <c r="AI337" s="70"/>
      <c r="AJ337" s="70"/>
      <c r="AK337" s="70"/>
      <c r="AL337" s="70"/>
      <c r="AM337" s="70"/>
    </row>
    <row r="338" spans="1:39">
      <c r="A338" s="50"/>
      <c r="B338" s="52" t="s">
        <v>1311</v>
      </c>
      <c r="C338" s="53" t="s">
        <v>25</v>
      </c>
      <c r="D338" s="55" t="s">
        <v>26</v>
      </c>
      <c r="E338" s="53"/>
      <c r="F338" s="56" t="s">
        <v>1312</v>
      </c>
      <c r="G338" s="57" t="s">
        <v>48</v>
      </c>
      <c r="H338" s="58">
        <v>5800</v>
      </c>
      <c r="I338" s="59"/>
      <c r="J338" s="60" t="s">
        <v>4106</v>
      </c>
      <c r="K338" s="61"/>
      <c r="L338" s="62"/>
      <c r="M338" s="64"/>
      <c r="N338" s="65"/>
      <c r="O338" s="65"/>
      <c r="P338" s="65"/>
      <c r="Q338" s="65"/>
      <c r="R338" s="65"/>
      <c r="S338" s="65"/>
      <c r="T338" s="67"/>
      <c r="U338" s="67"/>
      <c r="V338" s="68" t="s">
        <v>4107</v>
      </c>
      <c r="W338" s="69" t="e">
        <v>#REF!</v>
      </c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I338" s="70"/>
      <c r="AJ338" s="70"/>
      <c r="AK338" s="70"/>
      <c r="AL338" s="70"/>
      <c r="AM338" s="70"/>
    </row>
    <row r="339" spans="1:39">
      <c r="A339" s="50"/>
      <c r="B339" s="52" t="s">
        <v>327</v>
      </c>
      <c r="C339" s="53" t="s">
        <v>25</v>
      </c>
      <c r="D339" s="55" t="s">
        <v>26</v>
      </c>
      <c r="E339" s="53"/>
      <c r="F339" s="56" t="s">
        <v>1313</v>
      </c>
      <c r="G339" s="57" t="s">
        <v>48</v>
      </c>
      <c r="H339" s="58">
        <v>6300</v>
      </c>
      <c r="I339" s="59"/>
      <c r="J339" s="60" t="s">
        <v>4106</v>
      </c>
      <c r="K339" s="61"/>
      <c r="L339" s="62"/>
      <c r="M339" s="64"/>
      <c r="N339" s="65"/>
      <c r="O339" s="65"/>
      <c r="P339" s="65"/>
      <c r="Q339" s="65"/>
      <c r="R339" s="65"/>
      <c r="S339" s="65"/>
      <c r="T339" s="67"/>
      <c r="U339" s="67"/>
      <c r="V339" s="68" t="s">
        <v>4107</v>
      </c>
      <c r="W339" s="69" t="e">
        <v>#REF!</v>
      </c>
      <c r="X339" s="70"/>
      <c r="Y339" s="70"/>
      <c r="Z339" s="70"/>
      <c r="AA339" s="70"/>
      <c r="AB339" s="70"/>
      <c r="AC339" s="70"/>
      <c r="AD339" s="70"/>
      <c r="AE339" s="70"/>
      <c r="AF339" s="70"/>
      <c r="AG339" s="70"/>
      <c r="AH339" s="70"/>
      <c r="AI339" s="70"/>
      <c r="AJ339" s="70"/>
      <c r="AK339" s="70"/>
      <c r="AL339" s="70"/>
      <c r="AM339" s="70"/>
    </row>
    <row r="340" spans="1:39">
      <c r="A340" s="50"/>
      <c r="B340" s="52" t="s">
        <v>1314</v>
      </c>
      <c r="C340" s="53" t="s">
        <v>25</v>
      </c>
      <c r="D340" s="55" t="s">
        <v>26</v>
      </c>
      <c r="E340" s="53"/>
      <c r="F340" s="56" t="s">
        <v>1315</v>
      </c>
      <c r="G340" s="57" t="s">
        <v>48</v>
      </c>
      <c r="H340" s="58">
        <v>6500</v>
      </c>
      <c r="I340" s="59"/>
      <c r="J340" s="60" t="s">
        <v>4106</v>
      </c>
      <c r="K340" s="61"/>
      <c r="L340" s="62"/>
      <c r="M340" s="64"/>
      <c r="N340" s="65"/>
      <c r="O340" s="65"/>
      <c r="P340" s="65"/>
      <c r="Q340" s="65"/>
      <c r="R340" s="65"/>
      <c r="S340" s="65"/>
      <c r="T340" s="67"/>
      <c r="U340" s="67"/>
      <c r="V340" s="68" t="s">
        <v>4107</v>
      </c>
      <c r="W340" s="69" t="e">
        <v>#REF!</v>
      </c>
      <c r="X340" s="70"/>
      <c r="Y340" s="70"/>
      <c r="Z340" s="70"/>
      <c r="AA340" s="70"/>
      <c r="AB340" s="70"/>
      <c r="AC340" s="70"/>
      <c r="AD340" s="70"/>
      <c r="AE340" s="70"/>
      <c r="AF340" s="70"/>
      <c r="AG340" s="70"/>
      <c r="AH340" s="70"/>
      <c r="AI340" s="70"/>
      <c r="AJ340" s="70"/>
      <c r="AK340" s="70"/>
      <c r="AL340" s="70"/>
      <c r="AM340" s="70"/>
    </row>
    <row r="341" spans="1:39">
      <c r="A341" s="50"/>
      <c r="B341" s="52" t="s">
        <v>1316</v>
      </c>
      <c r="C341" s="53" t="s">
        <v>25</v>
      </c>
      <c r="D341" s="55" t="s">
        <v>26</v>
      </c>
      <c r="E341" s="53"/>
      <c r="F341" s="56" t="s">
        <v>1105</v>
      </c>
      <c r="G341" s="57" t="s">
        <v>78</v>
      </c>
      <c r="H341" s="58">
        <v>23000</v>
      </c>
      <c r="I341" s="59"/>
      <c r="J341" s="60" t="s">
        <v>4106</v>
      </c>
      <c r="K341" s="61"/>
      <c r="L341" s="62"/>
      <c r="M341" s="64"/>
      <c r="N341" s="65"/>
      <c r="O341" s="65"/>
      <c r="P341" s="65"/>
      <c r="Q341" s="65"/>
      <c r="R341" s="65"/>
      <c r="S341" s="65"/>
      <c r="T341" s="67"/>
      <c r="U341" s="67"/>
      <c r="V341" s="68" t="s">
        <v>4107</v>
      </c>
      <c r="W341" s="69" t="e">
        <v>#REF!</v>
      </c>
      <c r="X341" s="70"/>
      <c r="Y341" s="70"/>
      <c r="Z341" s="70"/>
      <c r="AA341" s="70"/>
      <c r="AB341" s="70"/>
      <c r="AC341" s="70"/>
      <c r="AD341" s="70"/>
      <c r="AE341" s="70"/>
      <c r="AF341" s="70"/>
      <c r="AG341" s="70"/>
      <c r="AH341" s="70"/>
      <c r="AI341" s="70"/>
      <c r="AJ341" s="70"/>
      <c r="AK341" s="70"/>
      <c r="AL341" s="70"/>
      <c r="AM341" s="70"/>
    </row>
    <row r="342" spans="1:39">
      <c r="A342" s="50"/>
      <c r="B342" s="52" t="s">
        <v>1317</v>
      </c>
      <c r="C342" s="53" t="s">
        <v>25</v>
      </c>
      <c r="D342" s="55" t="s">
        <v>26</v>
      </c>
      <c r="E342" s="53"/>
      <c r="F342" s="56" t="s">
        <v>1318</v>
      </c>
      <c r="G342" s="57" t="s">
        <v>78</v>
      </c>
      <c r="H342" s="58">
        <v>25900</v>
      </c>
      <c r="I342" s="59"/>
      <c r="J342" s="60" t="s">
        <v>4106</v>
      </c>
      <c r="K342" s="61"/>
      <c r="L342" s="62"/>
      <c r="M342" s="64"/>
      <c r="N342" s="65"/>
      <c r="O342" s="65"/>
      <c r="P342" s="65"/>
      <c r="Q342" s="65"/>
      <c r="R342" s="65"/>
      <c r="S342" s="65"/>
      <c r="T342" s="67"/>
      <c r="U342" s="67"/>
      <c r="V342" s="68" t="s">
        <v>4107</v>
      </c>
      <c r="W342" s="69" t="e">
        <v>#REF!</v>
      </c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/>
      <c r="AM342" s="70"/>
    </row>
    <row r="343" spans="1:39">
      <c r="A343" s="50"/>
      <c r="B343" s="52" t="s">
        <v>533</v>
      </c>
      <c r="C343" s="53" t="s">
        <v>25</v>
      </c>
      <c r="D343" s="55" t="s">
        <v>26</v>
      </c>
      <c r="E343" s="53"/>
      <c r="F343" s="56" t="s">
        <v>1106</v>
      </c>
      <c r="G343" s="57" t="s">
        <v>78</v>
      </c>
      <c r="H343" s="58">
        <v>28600</v>
      </c>
      <c r="I343" s="59"/>
      <c r="J343" s="60" t="s">
        <v>4106</v>
      </c>
      <c r="K343" s="61"/>
      <c r="L343" s="62"/>
      <c r="M343" s="64"/>
      <c r="N343" s="65"/>
      <c r="O343" s="65"/>
      <c r="P343" s="65"/>
      <c r="Q343" s="65"/>
      <c r="R343" s="65"/>
      <c r="S343" s="65"/>
      <c r="T343" s="67"/>
      <c r="U343" s="67"/>
      <c r="V343" s="68" t="s">
        <v>4107</v>
      </c>
      <c r="W343" s="69" t="e">
        <v>#REF!</v>
      </c>
      <c r="X343" s="70"/>
      <c r="Y343" s="70"/>
      <c r="Z343" s="70"/>
      <c r="AA343" s="70"/>
      <c r="AB343" s="70"/>
      <c r="AC343" s="70"/>
      <c r="AD343" s="70"/>
      <c r="AE343" s="70"/>
      <c r="AF343" s="70"/>
      <c r="AG343" s="70"/>
      <c r="AH343" s="70"/>
      <c r="AI343" s="70"/>
      <c r="AJ343" s="70"/>
      <c r="AK343" s="70"/>
      <c r="AL343" s="70"/>
      <c r="AM343" s="70"/>
    </row>
    <row r="344" spans="1:39">
      <c r="A344" s="50"/>
      <c r="B344" s="52" t="s">
        <v>530</v>
      </c>
      <c r="C344" s="53" t="s">
        <v>25</v>
      </c>
      <c r="D344" s="55" t="s">
        <v>26</v>
      </c>
      <c r="E344" s="53"/>
      <c r="F344" s="56" t="s">
        <v>1110</v>
      </c>
      <c r="G344" s="57" t="s">
        <v>78</v>
      </c>
      <c r="H344" s="58">
        <v>30600</v>
      </c>
      <c r="I344" s="59"/>
      <c r="J344" s="60" t="s">
        <v>4106</v>
      </c>
      <c r="K344" s="61"/>
      <c r="L344" s="62"/>
      <c r="M344" s="64"/>
      <c r="N344" s="65"/>
      <c r="O344" s="65"/>
      <c r="P344" s="65"/>
      <c r="Q344" s="65"/>
      <c r="R344" s="65"/>
      <c r="S344" s="65"/>
      <c r="T344" s="67"/>
      <c r="U344" s="67"/>
      <c r="V344" s="68" t="s">
        <v>4107</v>
      </c>
      <c r="W344" s="69" t="e">
        <v>#REF!</v>
      </c>
      <c r="X344" s="70"/>
      <c r="Y344" s="70"/>
      <c r="Z344" s="70"/>
      <c r="AA344" s="70"/>
      <c r="AB344" s="70"/>
      <c r="AC344" s="70"/>
      <c r="AD344" s="70"/>
      <c r="AE344" s="70"/>
      <c r="AF344" s="70"/>
      <c r="AG344" s="70"/>
      <c r="AH344" s="70"/>
      <c r="AI344" s="70"/>
      <c r="AJ344" s="70"/>
      <c r="AK344" s="70"/>
      <c r="AL344" s="70"/>
      <c r="AM344" s="70"/>
    </row>
    <row r="345" spans="1:39">
      <c r="A345" s="50"/>
      <c r="B345" s="52" t="s">
        <v>240</v>
      </c>
      <c r="C345" s="53" t="s">
        <v>25</v>
      </c>
      <c r="D345" s="55" t="s">
        <v>26</v>
      </c>
      <c r="E345" s="53"/>
      <c r="F345" s="56" t="s">
        <v>1113</v>
      </c>
      <c r="G345" s="57" t="s">
        <v>78</v>
      </c>
      <c r="H345" s="58">
        <v>32400</v>
      </c>
      <c r="I345" s="59"/>
      <c r="J345" s="60" t="s">
        <v>4106</v>
      </c>
      <c r="K345" s="61"/>
      <c r="L345" s="62"/>
      <c r="M345" s="64"/>
      <c r="N345" s="65"/>
      <c r="O345" s="65"/>
      <c r="P345" s="65"/>
      <c r="Q345" s="65"/>
      <c r="R345" s="65"/>
      <c r="S345" s="65"/>
      <c r="T345" s="67"/>
      <c r="U345" s="67"/>
      <c r="V345" s="68" t="s">
        <v>4107</v>
      </c>
      <c r="W345" s="69" t="e">
        <v>#REF!</v>
      </c>
      <c r="X345" s="70"/>
      <c r="Y345" s="70"/>
      <c r="Z345" s="70"/>
      <c r="AA345" s="70"/>
      <c r="AB345" s="70"/>
      <c r="AC345" s="70"/>
      <c r="AD345" s="70"/>
      <c r="AE345" s="70"/>
      <c r="AF345" s="70"/>
      <c r="AG345" s="70"/>
      <c r="AH345" s="70"/>
      <c r="AI345" s="70"/>
      <c r="AJ345" s="70"/>
      <c r="AK345" s="70"/>
      <c r="AL345" s="70"/>
      <c r="AM345" s="70"/>
    </row>
    <row r="346" spans="1:39">
      <c r="A346" s="50"/>
      <c r="B346" s="52" t="s">
        <v>242</v>
      </c>
      <c r="C346" s="53" t="s">
        <v>25</v>
      </c>
      <c r="D346" s="55" t="s">
        <v>26</v>
      </c>
      <c r="E346" s="53"/>
      <c r="F346" s="56" t="s">
        <v>1319</v>
      </c>
      <c r="G346" s="57" t="s">
        <v>78</v>
      </c>
      <c r="H346" s="58">
        <v>36000</v>
      </c>
      <c r="I346" s="59"/>
      <c r="J346" s="60" t="s">
        <v>4106</v>
      </c>
      <c r="K346" s="61"/>
      <c r="L346" s="62"/>
      <c r="M346" s="64"/>
      <c r="N346" s="65"/>
      <c r="O346" s="65"/>
      <c r="P346" s="65"/>
      <c r="Q346" s="65"/>
      <c r="R346" s="65"/>
      <c r="S346" s="65"/>
      <c r="T346" s="67"/>
      <c r="U346" s="67"/>
      <c r="V346" s="68" t="s">
        <v>4107</v>
      </c>
      <c r="W346" s="69" t="e">
        <v>#REF!</v>
      </c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I346" s="70"/>
      <c r="AJ346" s="70"/>
      <c r="AK346" s="70"/>
      <c r="AL346" s="70"/>
      <c r="AM346" s="70"/>
    </row>
    <row r="347" spans="1:39">
      <c r="A347" s="50"/>
      <c r="B347" s="52" t="s">
        <v>246</v>
      </c>
      <c r="C347" s="53" t="s">
        <v>25</v>
      </c>
      <c r="D347" s="55" t="s">
        <v>26</v>
      </c>
      <c r="E347" s="53"/>
      <c r="F347" s="56" t="s">
        <v>1114</v>
      </c>
      <c r="G347" s="57" t="s">
        <v>78</v>
      </c>
      <c r="H347" s="58">
        <v>40200</v>
      </c>
      <c r="I347" s="59"/>
      <c r="J347" s="60" t="s">
        <v>4106</v>
      </c>
      <c r="K347" s="61"/>
      <c r="L347" s="62"/>
      <c r="M347" s="64"/>
      <c r="N347" s="65"/>
      <c r="O347" s="65"/>
      <c r="P347" s="65"/>
      <c r="Q347" s="65"/>
      <c r="R347" s="65"/>
      <c r="S347" s="65"/>
      <c r="T347" s="67"/>
      <c r="U347" s="67"/>
      <c r="V347" s="68" t="s">
        <v>4107</v>
      </c>
      <c r="W347" s="69" t="e">
        <v>#REF!</v>
      </c>
      <c r="X347" s="70"/>
      <c r="Y347" s="70"/>
      <c r="Z347" s="70"/>
      <c r="AA347" s="70"/>
      <c r="AB347" s="70"/>
      <c r="AC347" s="70"/>
      <c r="AD347" s="70"/>
      <c r="AE347" s="70"/>
      <c r="AF347" s="70"/>
      <c r="AG347" s="70"/>
      <c r="AH347" s="70"/>
      <c r="AI347" s="70"/>
      <c r="AJ347" s="70"/>
      <c r="AK347" s="70"/>
      <c r="AL347" s="70"/>
      <c r="AM347" s="70"/>
    </row>
    <row r="348" spans="1:39">
      <c r="A348" s="50"/>
      <c r="B348" s="52" t="s">
        <v>249</v>
      </c>
      <c r="C348" s="53" t="s">
        <v>25</v>
      </c>
      <c r="D348" s="55" t="s">
        <v>26</v>
      </c>
      <c r="E348" s="53"/>
      <c r="F348" s="56" t="s">
        <v>1320</v>
      </c>
      <c r="G348" s="57" t="s">
        <v>78</v>
      </c>
      <c r="H348" s="58">
        <v>42300</v>
      </c>
      <c r="I348" s="59"/>
      <c r="J348" s="60" t="s">
        <v>4106</v>
      </c>
      <c r="K348" s="61"/>
      <c r="L348" s="62"/>
      <c r="M348" s="64"/>
      <c r="N348" s="65"/>
      <c r="O348" s="65"/>
      <c r="P348" s="65"/>
      <c r="Q348" s="65"/>
      <c r="R348" s="65"/>
      <c r="S348" s="65"/>
      <c r="T348" s="67"/>
      <c r="U348" s="67"/>
      <c r="V348" s="68" t="s">
        <v>4107</v>
      </c>
      <c r="W348" s="69" t="e">
        <v>#REF!</v>
      </c>
      <c r="X348" s="70"/>
      <c r="Y348" s="70"/>
      <c r="Z348" s="70"/>
      <c r="AA348" s="70"/>
      <c r="AB348" s="70"/>
      <c r="AC348" s="70"/>
      <c r="AD348" s="70"/>
      <c r="AE348" s="70"/>
      <c r="AF348" s="70"/>
      <c r="AG348" s="70"/>
      <c r="AH348" s="70"/>
      <c r="AI348" s="70"/>
      <c r="AJ348" s="70"/>
      <c r="AK348" s="70"/>
      <c r="AL348" s="70"/>
      <c r="AM348" s="70"/>
    </row>
    <row r="349" spans="1:39">
      <c r="A349" s="50"/>
      <c r="B349" s="52" t="s">
        <v>103</v>
      </c>
      <c r="C349" s="53" t="s">
        <v>25</v>
      </c>
      <c r="D349" s="55" t="s">
        <v>26</v>
      </c>
      <c r="E349" s="53"/>
      <c r="F349" s="56" t="s">
        <v>1117</v>
      </c>
      <c r="G349" s="57" t="s">
        <v>78</v>
      </c>
      <c r="H349" s="58">
        <v>47000</v>
      </c>
      <c r="I349" s="59"/>
      <c r="J349" s="60" t="s">
        <v>4106</v>
      </c>
      <c r="K349" s="61"/>
      <c r="L349" s="62"/>
      <c r="M349" s="64"/>
      <c r="N349" s="65"/>
      <c r="O349" s="65"/>
      <c r="P349" s="65"/>
      <c r="Q349" s="65"/>
      <c r="R349" s="65"/>
      <c r="S349" s="65"/>
      <c r="T349" s="67"/>
      <c r="U349" s="67"/>
      <c r="V349" s="68" t="s">
        <v>4107</v>
      </c>
      <c r="W349" s="69" t="e">
        <v>#REF!</v>
      </c>
      <c r="X349" s="70"/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I349" s="70"/>
      <c r="AJ349" s="70"/>
      <c r="AK349" s="70"/>
      <c r="AL349" s="70"/>
      <c r="AM349" s="70"/>
    </row>
    <row r="350" spans="1:39">
      <c r="A350" s="50"/>
      <c r="B350" s="52" t="s">
        <v>107</v>
      </c>
      <c r="C350" s="53" t="s">
        <v>25</v>
      </c>
      <c r="D350" s="55" t="s">
        <v>26</v>
      </c>
      <c r="E350" s="53"/>
      <c r="F350" s="56" t="s">
        <v>4116</v>
      </c>
      <c r="G350" s="57" t="s">
        <v>78</v>
      </c>
      <c r="H350" s="58">
        <v>51200</v>
      </c>
      <c r="I350" s="59"/>
      <c r="J350" s="60" t="s">
        <v>4106</v>
      </c>
      <c r="K350" s="61"/>
      <c r="L350" s="62"/>
      <c r="M350" s="64"/>
      <c r="N350" s="65"/>
      <c r="O350" s="65"/>
      <c r="P350" s="65"/>
      <c r="Q350" s="65"/>
      <c r="R350" s="65"/>
      <c r="S350" s="65"/>
      <c r="T350" s="67"/>
      <c r="U350" s="67"/>
      <c r="V350" s="68" t="s">
        <v>4107</v>
      </c>
      <c r="W350" s="69" t="e">
        <v>#REF!</v>
      </c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</row>
    <row r="351" spans="1:39">
      <c r="A351" s="50"/>
      <c r="B351" s="52" t="s">
        <v>97</v>
      </c>
      <c r="C351" s="53" t="s">
        <v>25</v>
      </c>
      <c r="D351" s="55" t="s">
        <v>26</v>
      </c>
      <c r="E351" s="53"/>
      <c r="F351" s="56" t="s">
        <v>691</v>
      </c>
      <c r="G351" s="57" t="s">
        <v>78</v>
      </c>
      <c r="H351" s="58">
        <v>53300</v>
      </c>
      <c r="I351" s="59"/>
      <c r="J351" s="60" t="s">
        <v>4106</v>
      </c>
      <c r="K351" s="61"/>
      <c r="L351" s="62"/>
      <c r="M351" s="64"/>
      <c r="N351" s="65"/>
      <c r="O351" s="65"/>
      <c r="P351" s="65"/>
      <c r="Q351" s="65"/>
      <c r="R351" s="65"/>
      <c r="S351" s="65"/>
      <c r="T351" s="67"/>
      <c r="U351" s="67"/>
      <c r="V351" s="68" t="s">
        <v>4107</v>
      </c>
      <c r="W351" s="69" t="e">
        <v>#REF!</v>
      </c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</row>
    <row r="352" spans="1:39">
      <c r="A352" s="50"/>
      <c r="B352" s="52" t="s">
        <v>101</v>
      </c>
      <c r="C352" s="53" t="s">
        <v>25</v>
      </c>
      <c r="D352" s="55" t="s">
        <v>26</v>
      </c>
      <c r="E352" s="53"/>
      <c r="F352" s="56" t="s">
        <v>701</v>
      </c>
      <c r="G352" s="57" t="s">
        <v>78</v>
      </c>
      <c r="H352" s="58">
        <v>57000</v>
      </c>
      <c r="I352" s="59"/>
      <c r="J352" s="60" t="s">
        <v>4106</v>
      </c>
      <c r="K352" s="61"/>
      <c r="L352" s="62"/>
      <c r="M352" s="64"/>
      <c r="N352" s="65"/>
      <c r="O352" s="65"/>
      <c r="P352" s="65"/>
      <c r="Q352" s="65"/>
      <c r="R352" s="65"/>
      <c r="S352" s="65"/>
      <c r="T352" s="67"/>
      <c r="U352" s="67"/>
      <c r="V352" s="68" t="s">
        <v>4107</v>
      </c>
      <c r="W352" s="69" t="e">
        <v>#REF!</v>
      </c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I352" s="70"/>
      <c r="AJ352" s="70"/>
      <c r="AK352" s="70"/>
      <c r="AL352" s="70"/>
      <c r="AM352" s="70"/>
    </row>
    <row r="353" spans="1:39" ht="31.5">
      <c r="A353" s="50"/>
      <c r="B353" s="52" t="s">
        <v>91</v>
      </c>
      <c r="C353" s="53" t="s">
        <v>25</v>
      </c>
      <c r="D353" s="55" t="s">
        <v>26</v>
      </c>
      <c r="E353" s="53"/>
      <c r="F353" s="56" t="s">
        <v>1321</v>
      </c>
      <c r="G353" s="57" t="s">
        <v>78</v>
      </c>
      <c r="H353" s="58">
        <v>30100</v>
      </c>
      <c r="I353" s="59"/>
      <c r="J353" s="60" t="s">
        <v>4106</v>
      </c>
      <c r="K353" s="61"/>
      <c r="L353" s="62"/>
      <c r="M353" s="64"/>
      <c r="N353" s="65"/>
      <c r="O353" s="65"/>
      <c r="P353" s="65"/>
      <c r="Q353" s="65"/>
      <c r="R353" s="65"/>
      <c r="S353" s="65"/>
      <c r="T353" s="67"/>
      <c r="U353" s="67"/>
      <c r="V353" s="68" t="s">
        <v>4107</v>
      </c>
      <c r="W353" s="69" t="e">
        <v>#REF!</v>
      </c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  <c r="AL353" s="70"/>
      <c r="AM353" s="70"/>
    </row>
    <row r="354" spans="1:39" ht="31.5">
      <c r="A354" s="50"/>
      <c r="B354" s="52" t="s">
        <v>93</v>
      </c>
      <c r="C354" s="53" t="s">
        <v>25</v>
      </c>
      <c r="D354" s="55" t="s">
        <v>26</v>
      </c>
      <c r="E354" s="53"/>
      <c r="F354" s="56" t="s">
        <v>1322</v>
      </c>
      <c r="G354" s="57" t="s">
        <v>78</v>
      </c>
      <c r="H354" s="58">
        <v>34800</v>
      </c>
      <c r="I354" s="59"/>
      <c r="J354" s="60" t="s">
        <v>4106</v>
      </c>
      <c r="K354" s="61"/>
      <c r="L354" s="62"/>
      <c r="M354" s="64"/>
      <c r="N354" s="65"/>
      <c r="O354" s="65"/>
      <c r="P354" s="65"/>
      <c r="Q354" s="65"/>
      <c r="R354" s="65"/>
      <c r="S354" s="65"/>
      <c r="T354" s="67"/>
      <c r="U354" s="67"/>
      <c r="V354" s="68" t="s">
        <v>4107</v>
      </c>
      <c r="W354" s="69" t="e">
        <v>#REF!</v>
      </c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70"/>
      <c r="AI354" s="70"/>
      <c r="AJ354" s="70"/>
      <c r="AK354" s="70"/>
      <c r="AL354" s="70"/>
      <c r="AM354" s="70"/>
    </row>
    <row r="355" spans="1:39" ht="31.5">
      <c r="A355" s="50"/>
      <c r="B355" s="52" t="s">
        <v>1323</v>
      </c>
      <c r="C355" s="53" t="s">
        <v>25</v>
      </c>
      <c r="D355" s="55" t="s">
        <v>26</v>
      </c>
      <c r="E355" s="53"/>
      <c r="F355" s="56" t="s">
        <v>1324</v>
      </c>
      <c r="G355" s="57" t="s">
        <v>78</v>
      </c>
      <c r="H355" s="58">
        <v>41500</v>
      </c>
      <c r="I355" s="59"/>
      <c r="J355" s="60" t="s">
        <v>4106</v>
      </c>
      <c r="K355" s="61"/>
      <c r="L355" s="62"/>
      <c r="M355" s="64"/>
      <c r="N355" s="65"/>
      <c r="O355" s="65"/>
      <c r="P355" s="65"/>
      <c r="Q355" s="65"/>
      <c r="R355" s="65"/>
      <c r="S355" s="65"/>
      <c r="T355" s="67"/>
      <c r="U355" s="67"/>
      <c r="V355" s="68" t="s">
        <v>4107</v>
      </c>
      <c r="W355" s="69" t="e">
        <v>#REF!</v>
      </c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70"/>
      <c r="AI355" s="70"/>
      <c r="AJ355" s="70"/>
      <c r="AK355" s="70"/>
      <c r="AL355" s="70"/>
      <c r="AM355" s="70"/>
    </row>
    <row r="356" spans="1:39" ht="31.5">
      <c r="A356" s="50"/>
      <c r="B356" s="52" t="s">
        <v>1325</v>
      </c>
      <c r="C356" s="53" t="s">
        <v>25</v>
      </c>
      <c r="D356" s="55" t="s">
        <v>26</v>
      </c>
      <c r="E356" s="53"/>
      <c r="F356" s="56" t="s">
        <v>1326</v>
      </c>
      <c r="G356" s="57" t="s">
        <v>78</v>
      </c>
      <c r="H356" s="58">
        <v>43400</v>
      </c>
      <c r="I356" s="59"/>
      <c r="J356" s="60" t="s">
        <v>4106</v>
      </c>
      <c r="K356" s="61"/>
      <c r="L356" s="62"/>
      <c r="M356" s="64"/>
      <c r="N356" s="65"/>
      <c r="O356" s="65"/>
      <c r="P356" s="65"/>
      <c r="Q356" s="65"/>
      <c r="R356" s="65"/>
      <c r="S356" s="65"/>
      <c r="T356" s="67"/>
      <c r="U356" s="67"/>
      <c r="V356" s="68" t="s">
        <v>4107</v>
      </c>
      <c r="W356" s="69" t="e">
        <v>#REF!</v>
      </c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70"/>
      <c r="AI356" s="70"/>
      <c r="AJ356" s="70"/>
      <c r="AK356" s="70"/>
      <c r="AL356" s="70"/>
      <c r="AM356" s="70"/>
    </row>
    <row r="357" spans="1:39" ht="31.5">
      <c r="A357" s="50"/>
      <c r="B357" s="52" t="s">
        <v>1327</v>
      </c>
      <c r="C357" s="53" t="s">
        <v>25</v>
      </c>
      <c r="D357" s="55" t="s">
        <v>26</v>
      </c>
      <c r="E357" s="53"/>
      <c r="F357" s="56" t="s">
        <v>1328</v>
      </c>
      <c r="G357" s="57" t="s">
        <v>78</v>
      </c>
      <c r="H357" s="58">
        <v>48100</v>
      </c>
      <c r="I357" s="59"/>
      <c r="J357" s="60" t="s">
        <v>4106</v>
      </c>
      <c r="K357" s="61"/>
      <c r="L357" s="62"/>
      <c r="M357" s="64"/>
      <c r="N357" s="65"/>
      <c r="O357" s="65"/>
      <c r="P357" s="65"/>
      <c r="Q357" s="65"/>
      <c r="R357" s="65"/>
      <c r="S357" s="65"/>
      <c r="T357" s="67"/>
      <c r="U357" s="67"/>
      <c r="V357" s="68" t="s">
        <v>4107</v>
      </c>
      <c r="W357" s="69" t="e">
        <v>#REF!</v>
      </c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/>
      <c r="AI357" s="70"/>
      <c r="AJ357" s="70"/>
      <c r="AK357" s="70"/>
      <c r="AL357" s="70"/>
      <c r="AM357" s="70"/>
    </row>
    <row r="358" spans="1:39" ht="31.5">
      <c r="A358" s="50"/>
      <c r="B358" s="52" t="s">
        <v>1329</v>
      </c>
      <c r="C358" s="53" t="s">
        <v>25</v>
      </c>
      <c r="D358" s="55" t="s">
        <v>26</v>
      </c>
      <c r="E358" s="53"/>
      <c r="F358" s="56" t="s">
        <v>1330</v>
      </c>
      <c r="G358" s="57" t="s">
        <v>78</v>
      </c>
      <c r="H358" s="58">
        <v>55400</v>
      </c>
      <c r="I358" s="59"/>
      <c r="J358" s="60" t="s">
        <v>4106</v>
      </c>
      <c r="K358" s="61"/>
      <c r="L358" s="62"/>
      <c r="M358" s="64"/>
      <c r="N358" s="65"/>
      <c r="O358" s="65"/>
      <c r="P358" s="65"/>
      <c r="Q358" s="65"/>
      <c r="R358" s="65"/>
      <c r="S358" s="65"/>
      <c r="T358" s="67"/>
      <c r="U358" s="67"/>
      <c r="V358" s="68" t="s">
        <v>4107</v>
      </c>
      <c r="W358" s="69" t="e">
        <v>#REF!</v>
      </c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I358" s="70"/>
      <c r="AJ358" s="70"/>
      <c r="AK358" s="70"/>
      <c r="AL358" s="70"/>
      <c r="AM358" s="70"/>
    </row>
    <row r="359" spans="1:39" ht="31.5">
      <c r="A359" s="50"/>
      <c r="B359" s="52" t="s">
        <v>1331</v>
      </c>
      <c r="C359" s="53" t="s">
        <v>25</v>
      </c>
      <c r="D359" s="55" t="s">
        <v>26</v>
      </c>
      <c r="E359" s="53"/>
      <c r="F359" s="56" t="s">
        <v>1332</v>
      </c>
      <c r="G359" s="57" t="s">
        <v>78</v>
      </c>
      <c r="H359" s="58">
        <v>62700</v>
      </c>
      <c r="I359" s="59"/>
      <c r="J359" s="60" t="s">
        <v>4106</v>
      </c>
      <c r="K359" s="61"/>
      <c r="L359" s="62"/>
      <c r="M359" s="64"/>
      <c r="N359" s="65"/>
      <c r="O359" s="65"/>
      <c r="P359" s="65"/>
      <c r="Q359" s="65"/>
      <c r="R359" s="65"/>
      <c r="S359" s="65"/>
      <c r="T359" s="67"/>
      <c r="U359" s="67"/>
      <c r="V359" s="68" t="s">
        <v>4107</v>
      </c>
      <c r="W359" s="69" t="e">
        <v>#REF!</v>
      </c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70"/>
      <c r="AI359" s="70"/>
      <c r="AJ359" s="70"/>
      <c r="AK359" s="70"/>
      <c r="AL359" s="70"/>
      <c r="AM359" s="70"/>
    </row>
    <row r="360" spans="1:39" ht="31.5">
      <c r="A360" s="50"/>
      <c r="B360" s="52" t="s">
        <v>1333</v>
      </c>
      <c r="C360" s="53" t="s">
        <v>25</v>
      </c>
      <c r="D360" s="55" t="s">
        <v>26</v>
      </c>
      <c r="E360" s="53"/>
      <c r="F360" s="56" t="s">
        <v>1334</v>
      </c>
      <c r="G360" s="57" t="s">
        <v>78</v>
      </c>
      <c r="H360" s="58">
        <v>71000</v>
      </c>
      <c r="I360" s="59"/>
      <c r="J360" s="60" t="s">
        <v>4106</v>
      </c>
      <c r="K360" s="61"/>
      <c r="L360" s="62"/>
      <c r="M360" s="64"/>
      <c r="N360" s="65"/>
      <c r="O360" s="65"/>
      <c r="P360" s="65"/>
      <c r="Q360" s="65"/>
      <c r="R360" s="65"/>
      <c r="S360" s="65"/>
      <c r="T360" s="67"/>
      <c r="U360" s="67"/>
      <c r="V360" s="68" t="s">
        <v>4107</v>
      </c>
      <c r="W360" s="69" t="e">
        <v>#REF!</v>
      </c>
      <c r="X360" s="70"/>
      <c r="Y360" s="70"/>
      <c r="Z360" s="70"/>
      <c r="AA360" s="70"/>
      <c r="AB360" s="70"/>
      <c r="AC360" s="70"/>
      <c r="AD360" s="70"/>
      <c r="AE360" s="70"/>
      <c r="AF360" s="70"/>
      <c r="AG360" s="70"/>
      <c r="AH360" s="70"/>
      <c r="AI360" s="70"/>
      <c r="AJ360" s="70"/>
      <c r="AK360" s="70"/>
      <c r="AL360" s="70"/>
      <c r="AM360" s="70"/>
    </row>
    <row r="361" spans="1:39">
      <c r="A361" s="50"/>
      <c r="B361" s="52" t="s">
        <v>1335</v>
      </c>
      <c r="C361" s="53" t="s">
        <v>25</v>
      </c>
      <c r="D361" s="55" t="s">
        <v>26</v>
      </c>
      <c r="E361" s="53"/>
      <c r="F361" s="56" t="s">
        <v>1119</v>
      </c>
      <c r="G361" s="57" t="s">
        <v>78</v>
      </c>
      <c r="H361" s="58">
        <v>17000</v>
      </c>
      <c r="I361" s="59"/>
      <c r="J361" s="60" t="s">
        <v>4106</v>
      </c>
      <c r="K361" s="61"/>
      <c r="L361" s="62"/>
      <c r="M361" s="64"/>
      <c r="N361" s="65"/>
      <c r="O361" s="65"/>
      <c r="P361" s="65"/>
      <c r="Q361" s="65"/>
      <c r="R361" s="65"/>
      <c r="S361" s="65"/>
      <c r="T361" s="67"/>
      <c r="U361" s="67"/>
      <c r="V361" s="68" t="s">
        <v>4107</v>
      </c>
      <c r="W361" s="69" t="e">
        <v>#REF!</v>
      </c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0"/>
      <c r="AI361" s="70"/>
      <c r="AJ361" s="70"/>
      <c r="AK361" s="70"/>
      <c r="AL361" s="70"/>
      <c r="AM361" s="70"/>
    </row>
    <row r="362" spans="1:39">
      <c r="A362" s="50"/>
      <c r="B362" s="52" t="s">
        <v>1336</v>
      </c>
      <c r="C362" s="53" t="s">
        <v>25</v>
      </c>
      <c r="D362" s="55" t="s">
        <v>26</v>
      </c>
      <c r="E362" s="53"/>
      <c r="F362" s="56" t="s">
        <v>1122</v>
      </c>
      <c r="G362" s="57" t="s">
        <v>78</v>
      </c>
      <c r="H362" s="58">
        <v>21000</v>
      </c>
      <c r="I362" s="59"/>
      <c r="J362" s="60" t="s">
        <v>4106</v>
      </c>
      <c r="K362" s="61"/>
      <c r="L362" s="62"/>
      <c r="M362" s="64"/>
      <c r="N362" s="65"/>
      <c r="O362" s="65"/>
      <c r="P362" s="65"/>
      <c r="Q362" s="65"/>
      <c r="R362" s="65"/>
      <c r="S362" s="65"/>
      <c r="T362" s="67"/>
      <c r="U362" s="67"/>
      <c r="V362" s="68" t="s">
        <v>4107</v>
      </c>
      <c r="W362" s="69" t="e">
        <v>#REF!</v>
      </c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70"/>
      <c r="AI362" s="70"/>
      <c r="AJ362" s="70"/>
      <c r="AK362" s="70"/>
      <c r="AL362" s="70"/>
      <c r="AM362" s="70"/>
    </row>
    <row r="363" spans="1:39">
      <c r="A363" s="50"/>
      <c r="B363" s="52" t="s">
        <v>1337</v>
      </c>
      <c r="C363" s="53" t="s">
        <v>25</v>
      </c>
      <c r="D363" s="55" t="s">
        <v>26</v>
      </c>
      <c r="E363" s="53"/>
      <c r="F363" s="56" t="s">
        <v>1123</v>
      </c>
      <c r="G363" s="57" t="s">
        <v>78</v>
      </c>
      <c r="H363" s="58">
        <v>20000</v>
      </c>
      <c r="I363" s="59"/>
      <c r="J363" s="60" t="s">
        <v>4106</v>
      </c>
      <c r="K363" s="61"/>
      <c r="L363" s="62"/>
      <c r="M363" s="64"/>
      <c r="N363" s="65"/>
      <c r="O363" s="65"/>
      <c r="P363" s="65"/>
      <c r="Q363" s="65"/>
      <c r="R363" s="65"/>
      <c r="S363" s="65"/>
      <c r="T363" s="67"/>
      <c r="U363" s="67"/>
      <c r="V363" s="68" t="s">
        <v>4107</v>
      </c>
      <c r="W363" s="69" t="e">
        <v>#REF!</v>
      </c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70"/>
      <c r="AI363" s="70"/>
      <c r="AJ363" s="70"/>
      <c r="AK363" s="70"/>
      <c r="AL363" s="70"/>
      <c r="AM363" s="70"/>
    </row>
    <row r="364" spans="1:39">
      <c r="A364" s="50"/>
      <c r="B364" s="52" t="s">
        <v>423</v>
      </c>
      <c r="C364" s="53" t="s">
        <v>25</v>
      </c>
      <c r="D364" s="55" t="s">
        <v>26</v>
      </c>
      <c r="E364" s="53"/>
      <c r="F364" s="56" t="s">
        <v>1124</v>
      </c>
      <c r="G364" s="57" t="s">
        <v>78</v>
      </c>
      <c r="H364" s="58">
        <v>28000</v>
      </c>
      <c r="I364" s="59"/>
      <c r="J364" s="60" t="s">
        <v>4106</v>
      </c>
      <c r="K364" s="61"/>
      <c r="L364" s="62"/>
      <c r="M364" s="64"/>
      <c r="N364" s="65"/>
      <c r="O364" s="65"/>
      <c r="P364" s="65"/>
      <c r="Q364" s="65"/>
      <c r="R364" s="65"/>
      <c r="S364" s="65"/>
      <c r="T364" s="67"/>
      <c r="U364" s="67"/>
      <c r="V364" s="68" t="s">
        <v>4107</v>
      </c>
      <c r="W364" s="69" t="e">
        <v>#REF!</v>
      </c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0"/>
      <c r="AI364" s="70"/>
      <c r="AJ364" s="70"/>
      <c r="AK364" s="70"/>
      <c r="AL364" s="70"/>
      <c r="AM364" s="70"/>
    </row>
    <row r="365" spans="1:39">
      <c r="A365" s="50"/>
      <c r="B365" s="52" t="s">
        <v>425</v>
      </c>
      <c r="C365" s="53" t="s">
        <v>25</v>
      </c>
      <c r="D365" s="55" t="s">
        <v>26</v>
      </c>
      <c r="E365" s="53"/>
      <c r="F365" s="56" t="s">
        <v>1338</v>
      </c>
      <c r="G365" s="57" t="s">
        <v>78</v>
      </c>
      <c r="H365" s="58">
        <v>24200</v>
      </c>
      <c r="I365" s="59"/>
      <c r="J365" s="60" t="s">
        <v>4106</v>
      </c>
      <c r="K365" s="61"/>
      <c r="L365" s="62"/>
      <c r="M365" s="64"/>
      <c r="N365" s="65"/>
      <c r="O365" s="65"/>
      <c r="P365" s="65"/>
      <c r="Q365" s="65"/>
      <c r="R365" s="65"/>
      <c r="S365" s="65"/>
      <c r="T365" s="67"/>
      <c r="U365" s="67"/>
      <c r="V365" s="68" t="s">
        <v>4107</v>
      </c>
      <c r="W365" s="69" t="e">
        <v>#REF!</v>
      </c>
      <c r="X365" s="70"/>
      <c r="Y365" s="70"/>
      <c r="Z365" s="70"/>
      <c r="AA365" s="70"/>
      <c r="AB365" s="70"/>
      <c r="AC365" s="70"/>
      <c r="AD365" s="70"/>
      <c r="AE365" s="70"/>
      <c r="AF365" s="70"/>
      <c r="AG365" s="70"/>
      <c r="AH365" s="70"/>
      <c r="AI365" s="70"/>
      <c r="AJ365" s="70"/>
      <c r="AK365" s="70"/>
      <c r="AL365" s="70"/>
      <c r="AM365" s="70"/>
    </row>
    <row r="366" spans="1:39">
      <c r="A366" s="50"/>
      <c r="B366" s="52" t="s">
        <v>419</v>
      </c>
      <c r="C366" s="53" t="s">
        <v>25</v>
      </c>
      <c r="D366" s="55" t="s">
        <v>26</v>
      </c>
      <c r="E366" s="53"/>
      <c r="F366" s="56" t="s">
        <v>1339</v>
      </c>
      <c r="G366" s="57" t="s">
        <v>78</v>
      </c>
      <c r="H366" s="58">
        <v>27400</v>
      </c>
      <c r="I366" s="59"/>
      <c r="J366" s="60" t="s">
        <v>4106</v>
      </c>
      <c r="K366" s="61"/>
      <c r="L366" s="62"/>
      <c r="M366" s="64"/>
      <c r="N366" s="65"/>
      <c r="O366" s="65"/>
      <c r="P366" s="65"/>
      <c r="Q366" s="65"/>
      <c r="R366" s="65"/>
      <c r="S366" s="65"/>
      <c r="T366" s="67"/>
      <c r="U366" s="67"/>
      <c r="V366" s="68" t="s">
        <v>4107</v>
      </c>
      <c r="W366" s="69" t="e">
        <v>#REF!</v>
      </c>
      <c r="X366" s="70"/>
      <c r="Y366" s="70"/>
      <c r="Z366" s="70"/>
      <c r="AA366" s="70"/>
      <c r="AB366" s="70"/>
      <c r="AC366" s="70"/>
      <c r="AD366" s="70"/>
      <c r="AE366" s="70"/>
      <c r="AF366" s="70"/>
      <c r="AG366" s="70"/>
      <c r="AH366" s="70"/>
      <c r="AI366" s="70"/>
      <c r="AJ366" s="70"/>
      <c r="AK366" s="70"/>
      <c r="AL366" s="70"/>
      <c r="AM366" s="70"/>
    </row>
    <row r="367" spans="1:39">
      <c r="A367" s="50"/>
      <c r="B367" s="52" t="s">
        <v>409</v>
      </c>
      <c r="C367" s="53" t="s">
        <v>25</v>
      </c>
      <c r="D367" s="55" t="s">
        <v>26</v>
      </c>
      <c r="E367" s="53"/>
      <c r="F367" s="56" t="s">
        <v>1340</v>
      </c>
      <c r="G367" s="57" t="s">
        <v>78</v>
      </c>
      <c r="H367" s="58">
        <v>29900</v>
      </c>
      <c r="I367" s="59"/>
      <c r="J367" s="60" t="s">
        <v>4106</v>
      </c>
      <c r="K367" s="61"/>
      <c r="L367" s="62"/>
      <c r="M367" s="64"/>
      <c r="N367" s="65"/>
      <c r="O367" s="65"/>
      <c r="P367" s="65"/>
      <c r="Q367" s="65"/>
      <c r="R367" s="65"/>
      <c r="S367" s="65"/>
      <c r="T367" s="67"/>
      <c r="U367" s="67"/>
      <c r="V367" s="68" t="s">
        <v>4107</v>
      </c>
      <c r="W367" s="69" t="e">
        <v>#REF!</v>
      </c>
      <c r="X367" s="70"/>
      <c r="Y367" s="70"/>
      <c r="Z367" s="70"/>
      <c r="AA367" s="70"/>
      <c r="AB367" s="70"/>
      <c r="AC367" s="70"/>
      <c r="AD367" s="70"/>
      <c r="AE367" s="70"/>
      <c r="AF367" s="70"/>
      <c r="AG367" s="70"/>
      <c r="AH367" s="70"/>
      <c r="AI367" s="70"/>
      <c r="AJ367" s="70"/>
      <c r="AK367" s="70"/>
      <c r="AL367" s="70"/>
      <c r="AM367" s="70"/>
    </row>
    <row r="368" spans="1:39">
      <c r="A368" s="50"/>
      <c r="B368" s="52" t="s">
        <v>415</v>
      </c>
      <c r="C368" s="53" t="s">
        <v>25</v>
      </c>
      <c r="D368" s="55" t="s">
        <v>26</v>
      </c>
      <c r="E368" s="53"/>
      <c r="F368" s="56" t="s">
        <v>1341</v>
      </c>
      <c r="G368" s="57" t="s">
        <v>78</v>
      </c>
      <c r="H368" s="58">
        <v>36400</v>
      </c>
      <c r="I368" s="59"/>
      <c r="J368" s="60" t="s">
        <v>4106</v>
      </c>
      <c r="K368" s="61"/>
      <c r="L368" s="62"/>
      <c r="M368" s="64"/>
      <c r="N368" s="65"/>
      <c r="O368" s="65"/>
      <c r="P368" s="65"/>
      <c r="Q368" s="65"/>
      <c r="R368" s="65"/>
      <c r="S368" s="65"/>
      <c r="T368" s="67"/>
      <c r="U368" s="67"/>
      <c r="V368" s="68" t="s">
        <v>4107</v>
      </c>
      <c r="W368" s="69" t="e">
        <v>#REF!</v>
      </c>
      <c r="X368" s="70"/>
      <c r="Y368" s="70"/>
      <c r="Z368" s="70"/>
      <c r="AA368" s="70"/>
      <c r="AB368" s="70"/>
      <c r="AC368" s="70"/>
      <c r="AD368" s="70"/>
      <c r="AE368" s="70"/>
      <c r="AF368" s="70"/>
      <c r="AG368" s="70"/>
      <c r="AH368" s="70"/>
      <c r="AI368" s="70"/>
      <c r="AJ368" s="70"/>
      <c r="AK368" s="70"/>
      <c r="AL368" s="70"/>
      <c r="AM368" s="70"/>
    </row>
    <row r="369" spans="1:39">
      <c r="A369" s="50"/>
      <c r="B369" s="52" t="s">
        <v>499</v>
      </c>
      <c r="C369" s="53" t="s">
        <v>25</v>
      </c>
      <c r="D369" s="55" t="s">
        <v>26</v>
      </c>
      <c r="E369" s="53"/>
      <c r="F369" s="56" t="s">
        <v>1342</v>
      </c>
      <c r="G369" s="57" t="s">
        <v>78</v>
      </c>
      <c r="H369" s="58">
        <v>58000</v>
      </c>
      <c r="I369" s="59"/>
      <c r="J369" s="60" t="s">
        <v>4106</v>
      </c>
      <c r="K369" s="61"/>
      <c r="L369" s="62"/>
      <c r="M369" s="64"/>
      <c r="N369" s="65"/>
      <c r="O369" s="65"/>
      <c r="P369" s="65"/>
      <c r="Q369" s="65"/>
      <c r="R369" s="65"/>
      <c r="S369" s="65"/>
      <c r="T369" s="67"/>
      <c r="U369" s="67"/>
      <c r="V369" s="68" t="s">
        <v>4107</v>
      </c>
      <c r="W369" s="69" t="e">
        <v>#REF!</v>
      </c>
      <c r="X369" s="70"/>
      <c r="Y369" s="70"/>
      <c r="Z369" s="70"/>
      <c r="AA369" s="70"/>
      <c r="AB369" s="70"/>
      <c r="AC369" s="70"/>
      <c r="AD369" s="70"/>
      <c r="AE369" s="70"/>
      <c r="AF369" s="70"/>
      <c r="AG369" s="70"/>
      <c r="AH369" s="70"/>
      <c r="AI369" s="70"/>
      <c r="AJ369" s="70"/>
      <c r="AK369" s="70"/>
      <c r="AL369" s="70"/>
      <c r="AM369" s="70"/>
    </row>
    <row r="370" spans="1:39">
      <c r="A370" s="50"/>
      <c r="B370" s="52" t="s">
        <v>495</v>
      </c>
      <c r="C370" s="53" t="s">
        <v>25</v>
      </c>
      <c r="D370" s="55" t="s">
        <v>26</v>
      </c>
      <c r="E370" s="53"/>
      <c r="F370" s="56" t="s">
        <v>1343</v>
      </c>
      <c r="G370" s="57" t="s">
        <v>78</v>
      </c>
      <c r="H370" s="58">
        <v>61000</v>
      </c>
      <c r="I370" s="59"/>
      <c r="J370" s="60" t="s">
        <v>4106</v>
      </c>
      <c r="K370" s="61"/>
      <c r="L370" s="62"/>
      <c r="M370" s="64"/>
      <c r="N370" s="65"/>
      <c r="O370" s="65"/>
      <c r="P370" s="65"/>
      <c r="Q370" s="65"/>
      <c r="R370" s="65"/>
      <c r="S370" s="65"/>
      <c r="T370" s="67"/>
      <c r="U370" s="67"/>
      <c r="V370" s="68" t="s">
        <v>4107</v>
      </c>
      <c r="W370" s="69" t="e">
        <v>#REF!</v>
      </c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</row>
    <row r="371" spans="1:39">
      <c r="A371" s="50"/>
      <c r="B371" s="52" t="s">
        <v>501</v>
      </c>
      <c r="C371" s="53" t="s">
        <v>25</v>
      </c>
      <c r="D371" s="55" t="s">
        <v>26</v>
      </c>
      <c r="E371" s="53"/>
      <c r="F371" s="56" t="s">
        <v>1344</v>
      </c>
      <c r="G371" s="57" t="s">
        <v>78</v>
      </c>
      <c r="H371" s="58">
        <v>12000</v>
      </c>
      <c r="I371" s="59"/>
      <c r="J371" s="60" t="s">
        <v>4106</v>
      </c>
      <c r="K371" s="61"/>
      <c r="L371" s="62"/>
      <c r="M371" s="64"/>
      <c r="N371" s="65"/>
      <c r="O371" s="65"/>
      <c r="P371" s="65"/>
      <c r="Q371" s="65"/>
      <c r="R371" s="65"/>
      <c r="S371" s="65"/>
      <c r="T371" s="67"/>
      <c r="U371" s="67"/>
      <c r="V371" s="68" t="s">
        <v>4107</v>
      </c>
      <c r="W371" s="69" t="e">
        <v>#REF!</v>
      </c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</row>
    <row r="372" spans="1:39">
      <c r="A372" s="50"/>
      <c r="B372" s="52" t="s">
        <v>509</v>
      </c>
      <c r="C372" s="53" t="s">
        <v>25</v>
      </c>
      <c r="D372" s="55" t="s">
        <v>26</v>
      </c>
      <c r="E372" s="53"/>
      <c r="F372" s="56" t="s">
        <v>1345</v>
      </c>
      <c r="G372" s="57" t="s">
        <v>78</v>
      </c>
      <c r="H372" s="58">
        <v>54300</v>
      </c>
      <c r="I372" s="59"/>
      <c r="J372" s="60" t="s">
        <v>4106</v>
      </c>
      <c r="K372" s="61"/>
      <c r="L372" s="62"/>
      <c r="M372" s="64"/>
      <c r="N372" s="65"/>
      <c r="O372" s="65"/>
      <c r="P372" s="65"/>
      <c r="Q372" s="65"/>
      <c r="R372" s="65"/>
      <c r="S372" s="65"/>
      <c r="T372" s="67"/>
      <c r="U372" s="67"/>
      <c r="V372" s="68" t="s">
        <v>4107</v>
      </c>
      <c r="W372" s="69" t="e">
        <v>#REF!</v>
      </c>
      <c r="X372" s="70"/>
      <c r="Y372" s="70"/>
      <c r="Z372" s="70"/>
      <c r="AA372" s="70"/>
      <c r="AB372" s="70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/>
      <c r="AM372" s="70"/>
    </row>
    <row r="373" spans="1:39">
      <c r="A373" s="50"/>
      <c r="B373" s="52" t="s">
        <v>505</v>
      </c>
      <c r="C373" s="53" t="s">
        <v>25</v>
      </c>
      <c r="D373" s="55" t="s">
        <v>26</v>
      </c>
      <c r="E373" s="53"/>
      <c r="F373" s="56" t="s">
        <v>1346</v>
      </c>
      <c r="G373" s="57" t="s">
        <v>78</v>
      </c>
      <c r="H373" s="58">
        <v>52000</v>
      </c>
      <c r="I373" s="59"/>
      <c r="J373" s="60" t="s">
        <v>4106</v>
      </c>
      <c r="K373" s="61"/>
      <c r="L373" s="62"/>
      <c r="M373" s="64"/>
      <c r="N373" s="65"/>
      <c r="O373" s="65"/>
      <c r="P373" s="65"/>
      <c r="Q373" s="65"/>
      <c r="R373" s="65"/>
      <c r="S373" s="65"/>
      <c r="T373" s="67"/>
      <c r="U373" s="67"/>
      <c r="V373" s="68" t="s">
        <v>4107</v>
      </c>
      <c r="W373" s="69" t="e">
        <v>#REF!</v>
      </c>
      <c r="X373" s="70"/>
      <c r="Y373" s="70"/>
      <c r="Z373" s="70"/>
      <c r="AA373" s="70"/>
      <c r="AB373" s="70"/>
      <c r="AC373" s="70"/>
      <c r="AD373" s="70"/>
      <c r="AE373" s="70"/>
      <c r="AF373" s="70"/>
      <c r="AG373" s="70"/>
      <c r="AH373" s="70"/>
      <c r="AI373" s="70"/>
      <c r="AJ373" s="70"/>
      <c r="AK373" s="70"/>
      <c r="AL373" s="70"/>
      <c r="AM373" s="70"/>
    </row>
    <row r="374" spans="1:39">
      <c r="A374" s="50"/>
      <c r="B374" s="52" t="s">
        <v>639</v>
      </c>
      <c r="C374" s="53" t="s">
        <v>25</v>
      </c>
      <c r="D374" s="55" t="s">
        <v>26</v>
      </c>
      <c r="E374" s="53"/>
      <c r="F374" s="56" t="s">
        <v>1347</v>
      </c>
      <c r="G374" s="57" t="s">
        <v>78</v>
      </c>
      <c r="H374" s="58">
        <v>18000</v>
      </c>
      <c r="I374" s="59"/>
      <c r="J374" s="60" t="s">
        <v>4106</v>
      </c>
      <c r="K374" s="61"/>
      <c r="L374" s="62"/>
      <c r="M374" s="64"/>
      <c r="N374" s="65"/>
      <c r="O374" s="65"/>
      <c r="P374" s="65"/>
      <c r="Q374" s="65"/>
      <c r="R374" s="65"/>
      <c r="S374" s="65"/>
      <c r="T374" s="67"/>
      <c r="U374" s="67"/>
      <c r="V374" s="68" t="s">
        <v>4107</v>
      </c>
      <c r="W374" s="69" t="e">
        <v>#REF!</v>
      </c>
      <c r="X374" s="70"/>
      <c r="Y374" s="70"/>
      <c r="Z374" s="70"/>
      <c r="AA374" s="70"/>
      <c r="AB374" s="70"/>
      <c r="AC374" s="70"/>
      <c r="AD374" s="70"/>
      <c r="AE374" s="70"/>
      <c r="AF374" s="70"/>
      <c r="AG374" s="70"/>
      <c r="AH374" s="70"/>
      <c r="AI374" s="70"/>
      <c r="AJ374" s="70"/>
      <c r="AK374" s="70"/>
      <c r="AL374" s="70"/>
      <c r="AM374" s="70"/>
    </row>
    <row r="375" spans="1:39">
      <c r="A375" s="50"/>
      <c r="B375" s="52" t="s">
        <v>399</v>
      </c>
      <c r="C375" s="53" t="s">
        <v>25</v>
      </c>
      <c r="D375" s="55" t="s">
        <v>26</v>
      </c>
      <c r="E375" s="53"/>
      <c r="F375" s="56" t="s">
        <v>1348</v>
      </c>
      <c r="G375" s="57" t="s">
        <v>78</v>
      </c>
      <c r="H375" s="58">
        <v>19000</v>
      </c>
      <c r="I375" s="59"/>
      <c r="J375" s="60" t="s">
        <v>4106</v>
      </c>
      <c r="K375" s="61"/>
      <c r="L375" s="62"/>
      <c r="M375" s="64"/>
      <c r="N375" s="65"/>
      <c r="O375" s="65"/>
      <c r="P375" s="65"/>
      <c r="Q375" s="65"/>
      <c r="R375" s="65"/>
      <c r="S375" s="65"/>
      <c r="T375" s="67"/>
      <c r="U375" s="67"/>
      <c r="V375" s="68" t="s">
        <v>4107</v>
      </c>
      <c r="W375" s="69" t="e">
        <v>#REF!</v>
      </c>
      <c r="X375" s="70"/>
      <c r="Y375" s="70"/>
      <c r="Z375" s="70"/>
      <c r="AA375" s="70"/>
      <c r="AB375" s="70"/>
      <c r="AC375" s="70"/>
      <c r="AD375" s="70"/>
      <c r="AE375" s="70"/>
      <c r="AF375" s="70"/>
      <c r="AG375" s="70"/>
      <c r="AH375" s="70"/>
      <c r="AI375" s="70"/>
      <c r="AJ375" s="70"/>
      <c r="AK375" s="70"/>
      <c r="AL375" s="70"/>
      <c r="AM375" s="70"/>
    </row>
    <row r="376" spans="1:39">
      <c r="A376" s="50"/>
      <c r="B376" s="52" t="s">
        <v>137</v>
      </c>
      <c r="C376" s="53" t="s">
        <v>25</v>
      </c>
      <c r="D376" s="55" t="s">
        <v>26</v>
      </c>
      <c r="E376" s="53"/>
      <c r="F376" s="56" t="s">
        <v>1351</v>
      </c>
      <c r="G376" s="57" t="s">
        <v>78</v>
      </c>
      <c r="H376" s="58">
        <v>17800</v>
      </c>
      <c r="I376" s="59"/>
      <c r="J376" s="60" t="s">
        <v>4106</v>
      </c>
      <c r="K376" s="61"/>
      <c r="L376" s="62"/>
      <c r="M376" s="64"/>
      <c r="N376" s="65"/>
      <c r="O376" s="65"/>
      <c r="P376" s="65"/>
      <c r="Q376" s="65"/>
      <c r="R376" s="65"/>
      <c r="S376" s="65"/>
      <c r="T376" s="67"/>
      <c r="U376" s="67"/>
      <c r="V376" s="68" t="s">
        <v>4107</v>
      </c>
      <c r="W376" s="69" t="e">
        <v>#REF!</v>
      </c>
      <c r="X376" s="70"/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I376" s="70"/>
      <c r="AJ376" s="70"/>
      <c r="AK376" s="70"/>
      <c r="AL376" s="70"/>
      <c r="AM376" s="70"/>
    </row>
    <row r="377" spans="1:39">
      <c r="A377" s="50"/>
      <c r="B377" s="52" t="s">
        <v>85</v>
      </c>
      <c r="C377" s="53" t="s">
        <v>25</v>
      </c>
      <c r="D377" s="55" t="s">
        <v>26</v>
      </c>
      <c r="E377" s="53"/>
      <c r="F377" s="56" t="s">
        <v>1352</v>
      </c>
      <c r="G377" s="57" t="s">
        <v>78</v>
      </c>
      <c r="H377" s="58">
        <v>85000</v>
      </c>
      <c r="I377" s="59"/>
      <c r="J377" s="60" t="s">
        <v>4106</v>
      </c>
      <c r="K377" s="61"/>
      <c r="L377" s="62"/>
      <c r="M377" s="64"/>
      <c r="N377" s="65"/>
      <c r="O377" s="65"/>
      <c r="P377" s="65"/>
      <c r="Q377" s="65"/>
      <c r="R377" s="65"/>
      <c r="S377" s="65"/>
      <c r="T377" s="67"/>
      <c r="U377" s="67"/>
      <c r="V377" s="68" t="s">
        <v>4107</v>
      </c>
      <c r="W377" s="69" t="e">
        <v>#REF!</v>
      </c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</row>
    <row r="378" spans="1:39">
      <c r="A378" s="50"/>
      <c r="B378" s="52" t="s">
        <v>87</v>
      </c>
      <c r="C378" s="53" t="s">
        <v>25</v>
      </c>
      <c r="D378" s="55" t="s">
        <v>26</v>
      </c>
      <c r="E378" s="53"/>
      <c r="F378" s="56" t="s">
        <v>1353</v>
      </c>
      <c r="G378" s="57" t="s">
        <v>78</v>
      </c>
      <c r="H378" s="58">
        <v>45000</v>
      </c>
      <c r="I378" s="59"/>
      <c r="J378" s="60" t="s">
        <v>4106</v>
      </c>
      <c r="K378" s="61"/>
      <c r="L378" s="62"/>
      <c r="M378" s="64"/>
      <c r="N378" s="65"/>
      <c r="O378" s="65"/>
      <c r="P378" s="65"/>
      <c r="Q378" s="65"/>
      <c r="R378" s="65"/>
      <c r="S378" s="65"/>
      <c r="T378" s="67"/>
      <c r="U378" s="67"/>
      <c r="V378" s="68" t="s">
        <v>4107</v>
      </c>
      <c r="W378" s="69" t="e">
        <v>#REF!</v>
      </c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</row>
    <row r="379" spans="1:39">
      <c r="A379" s="50"/>
      <c r="B379" s="52" t="s">
        <v>301</v>
      </c>
      <c r="C379" s="53" t="s">
        <v>25</v>
      </c>
      <c r="D379" s="55" t="s">
        <v>26</v>
      </c>
      <c r="E379" s="53"/>
      <c r="F379" s="56" t="s">
        <v>1354</v>
      </c>
      <c r="G379" s="57" t="s">
        <v>78</v>
      </c>
      <c r="H379" s="58">
        <v>95000</v>
      </c>
      <c r="I379" s="59"/>
      <c r="J379" s="60" t="s">
        <v>4106</v>
      </c>
      <c r="K379" s="61"/>
      <c r="L379" s="62"/>
      <c r="M379" s="64"/>
      <c r="N379" s="65"/>
      <c r="O379" s="65"/>
      <c r="P379" s="65"/>
      <c r="Q379" s="65"/>
      <c r="R379" s="65"/>
      <c r="S379" s="65"/>
      <c r="T379" s="67"/>
      <c r="U379" s="67"/>
      <c r="V379" s="68" t="s">
        <v>4107</v>
      </c>
      <c r="W379" s="69" t="e">
        <v>#REF!</v>
      </c>
      <c r="X379" s="70"/>
      <c r="Y379" s="70"/>
      <c r="Z379" s="70"/>
      <c r="AA379" s="70"/>
      <c r="AB379" s="70"/>
      <c r="AC379" s="70"/>
      <c r="AD379" s="70"/>
      <c r="AE379" s="70"/>
      <c r="AF379" s="70"/>
      <c r="AG379" s="70"/>
      <c r="AH379" s="70"/>
      <c r="AI379" s="70"/>
      <c r="AJ379" s="70"/>
      <c r="AK379" s="70"/>
      <c r="AL379" s="70"/>
      <c r="AM379" s="70"/>
    </row>
    <row r="380" spans="1:39">
      <c r="A380" s="50"/>
      <c r="B380" s="52" t="s">
        <v>304</v>
      </c>
      <c r="C380" s="53" t="s">
        <v>25</v>
      </c>
      <c r="D380" s="55" t="s">
        <v>26</v>
      </c>
      <c r="E380" s="53"/>
      <c r="F380" s="56" t="s">
        <v>1355</v>
      </c>
      <c r="G380" s="57" t="s">
        <v>78</v>
      </c>
      <c r="H380" s="58">
        <v>13400</v>
      </c>
      <c r="I380" s="59"/>
      <c r="J380" s="60" t="s">
        <v>4106</v>
      </c>
      <c r="K380" s="61"/>
      <c r="L380" s="62"/>
      <c r="M380" s="64"/>
      <c r="N380" s="65"/>
      <c r="O380" s="65"/>
      <c r="P380" s="65"/>
      <c r="Q380" s="65"/>
      <c r="R380" s="65"/>
      <c r="S380" s="65"/>
      <c r="T380" s="67"/>
      <c r="U380" s="67"/>
      <c r="V380" s="68" t="s">
        <v>4107</v>
      </c>
      <c r="W380" s="69" t="e">
        <v>#REF!</v>
      </c>
      <c r="X380" s="70"/>
      <c r="Y380" s="70"/>
      <c r="Z380" s="70"/>
      <c r="AA380" s="70"/>
      <c r="AB380" s="70"/>
      <c r="AC380" s="70"/>
      <c r="AD380" s="70"/>
      <c r="AE380" s="70"/>
      <c r="AF380" s="70"/>
      <c r="AG380" s="70"/>
      <c r="AH380" s="70"/>
      <c r="AI380" s="70"/>
      <c r="AJ380" s="70"/>
      <c r="AK380" s="70"/>
      <c r="AL380" s="70"/>
      <c r="AM380" s="70"/>
    </row>
    <row r="381" spans="1:39">
      <c r="A381" s="50"/>
      <c r="B381" s="52" t="s">
        <v>491</v>
      </c>
      <c r="C381" s="53" t="s">
        <v>25</v>
      </c>
      <c r="D381" s="55" t="s">
        <v>26</v>
      </c>
      <c r="E381" s="53"/>
      <c r="F381" s="56" t="s">
        <v>1356</v>
      </c>
      <c r="G381" s="57" t="s">
        <v>78</v>
      </c>
      <c r="H381" s="58">
        <v>22500</v>
      </c>
      <c r="I381" s="59"/>
      <c r="J381" s="60" t="s">
        <v>4106</v>
      </c>
      <c r="K381" s="61"/>
      <c r="L381" s="62"/>
      <c r="M381" s="64"/>
      <c r="N381" s="65"/>
      <c r="O381" s="65"/>
      <c r="P381" s="65"/>
      <c r="Q381" s="65"/>
      <c r="R381" s="65"/>
      <c r="S381" s="65"/>
      <c r="T381" s="67"/>
      <c r="U381" s="67"/>
      <c r="V381" s="68" t="s">
        <v>4107</v>
      </c>
      <c r="W381" s="69" t="e">
        <v>#REF!</v>
      </c>
      <c r="X381" s="70"/>
      <c r="Y381" s="70"/>
      <c r="Z381" s="70"/>
      <c r="AA381" s="70"/>
      <c r="AB381" s="70"/>
      <c r="AC381" s="70"/>
      <c r="AD381" s="70"/>
      <c r="AE381" s="70"/>
      <c r="AF381" s="70"/>
      <c r="AG381" s="70"/>
      <c r="AH381" s="70"/>
      <c r="AI381" s="70"/>
      <c r="AJ381" s="70"/>
      <c r="AK381" s="70"/>
      <c r="AL381" s="70"/>
      <c r="AM381" s="70"/>
    </row>
    <row r="382" spans="1:39">
      <c r="A382" s="50"/>
      <c r="B382" s="52" t="s">
        <v>1357</v>
      </c>
      <c r="C382" s="53" t="s">
        <v>25</v>
      </c>
      <c r="D382" s="55" t="s">
        <v>26</v>
      </c>
      <c r="E382" s="53"/>
      <c r="F382" s="56" t="s">
        <v>1358</v>
      </c>
      <c r="G382" s="57" t="s">
        <v>78</v>
      </c>
      <c r="H382" s="58">
        <v>9500</v>
      </c>
      <c r="I382" s="59"/>
      <c r="J382" s="60" t="s">
        <v>4106</v>
      </c>
      <c r="K382" s="61"/>
      <c r="L382" s="62"/>
      <c r="M382" s="64"/>
      <c r="N382" s="65"/>
      <c r="O382" s="65"/>
      <c r="P382" s="65"/>
      <c r="Q382" s="65"/>
      <c r="R382" s="65"/>
      <c r="S382" s="65"/>
      <c r="T382" s="67"/>
      <c r="U382" s="67"/>
      <c r="V382" s="68" t="s">
        <v>4107</v>
      </c>
      <c r="W382" s="69" t="e">
        <v>#REF!</v>
      </c>
      <c r="X382" s="70"/>
      <c r="Y382" s="70"/>
      <c r="Z382" s="70"/>
      <c r="AA382" s="70"/>
      <c r="AB382" s="70"/>
      <c r="AC382" s="70"/>
      <c r="AD382" s="70"/>
      <c r="AE382" s="70"/>
      <c r="AF382" s="70"/>
      <c r="AG382" s="70"/>
      <c r="AH382" s="70"/>
      <c r="AI382" s="70"/>
      <c r="AJ382" s="70"/>
      <c r="AK382" s="70"/>
      <c r="AL382" s="70"/>
      <c r="AM382" s="70"/>
    </row>
    <row r="383" spans="1:39">
      <c r="A383" s="50"/>
      <c r="B383" s="52" t="s">
        <v>354</v>
      </c>
      <c r="C383" s="53" t="s">
        <v>25</v>
      </c>
      <c r="D383" s="55" t="s">
        <v>26</v>
      </c>
      <c r="E383" s="53"/>
      <c r="F383" s="56" t="s">
        <v>1359</v>
      </c>
      <c r="G383" s="57" t="s">
        <v>78</v>
      </c>
      <c r="H383" s="58">
        <v>16000</v>
      </c>
      <c r="I383" s="59"/>
      <c r="J383" s="60" t="s">
        <v>4106</v>
      </c>
      <c r="K383" s="61"/>
      <c r="L383" s="62"/>
      <c r="M383" s="64"/>
      <c r="N383" s="65"/>
      <c r="O383" s="65"/>
      <c r="P383" s="65"/>
      <c r="Q383" s="65"/>
      <c r="R383" s="65"/>
      <c r="S383" s="65"/>
      <c r="T383" s="67"/>
      <c r="U383" s="67"/>
      <c r="V383" s="68" t="s">
        <v>4107</v>
      </c>
      <c r="W383" s="69" t="e">
        <v>#REF!</v>
      </c>
      <c r="X383" s="70"/>
      <c r="Y383" s="70"/>
      <c r="Z383" s="70"/>
      <c r="AA383" s="70"/>
      <c r="AB383" s="70"/>
      <c r="AC383" s="70"/>
      <c r="AD383" s="70"/>
      <c r="AE383" s="70"/>
      <c r="AF383" s="70"/>
      <c r="AG383" s="70"/>
      <c r="AH383" s="70"/>
      <c r="AI383" s="70"/>
      <c r="AJ383" s="70"/>
      <c r="AK383" s="70"/>
      <c r="AL383" s="70"/>
      <c r="AM383" s="70"/>
    </row>
    <row r="384" spans="1:39">
      <c r="A384" s="50"/>
      <c r="B384" s="52" t="s">
        <v>342</v>
      </c>
      <c r="C384" s="53" t="s">
        <v>25</v>
      </c>
      <c r="D384" s="55" t="s">
        <v>26</v>
      </c>
      <c r="E384" s="53"/>
      <c r="F384" s="56" t="s">
        <v>1360</v>
      </c>
      <c r="G384" s="57" t="s">
        <v>78</v>
      </c>
      <c r="H384" s="58">
        <v>20000</v>
      </c>
      <c r="I384" s="59"/>
      <c r="J384" s="60" t="s">
        <v>4106</v>
      </c>
      <c r="K384" s="61"/>
      <c r="L384" s="62"/>
      <c r="M384" s="64"/>
      <c r="N384" s="65"/>
      <c r="O384" s="65"/>
      <c r="P384" s="65"/>
      <c r="Q384" s="65"/>
      <c r="R384" s="65"/>
      <c r="S384" s="65"/>
      <c r="T384" s="67"/>
      <c r="U384" s="67"/>
      <c r="V384" s="68" t="s">
        <v>4107</v>
      </c>
      <c r="W384" s="69" t="e">
        <v>#REF!</v>
      </c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</row>
    <row r="385" spans="1:39">
      <c r="A385" s="50"/>
      <c r="B385" s="52" t="s">
        <v>344</v>
      </c>
      <c r="C385" s="53" t="s">
        <v>25</v>
      </c>
      <c r="D385" s="55" t="s">
        <v>26</v>
      </c>
      <c r="E385" s="53"/>
      <c r="F385" s="56" t="s">
        <v>1361</v>
      </c>
      <c r="G385" s="57" t="s">
        <v>78</v>
      </c>
      <c r="H385" s="58">
        <v>11000</v>
      </c>
      <c r="I385" s="59"/>
      <c r="J385" s="60" t="s">
        <v>4106</v>
      </c>
      <c r="K385" s="61"/>
      <c r="L385" s="62"/>
      <c r="M385" s="64"/>
      <c r="N385" s="65"/>
      <c r="O385" s="65"/>
      <c r="P385" s="65"/>
      <c r="Q385" s="65"/>
      <c r="R385" s="65"/>
      <c r="S385" s="65"/>
      <c r="T385" s="67"/>
      <c r="U385" s="67"/>
      <c r="V385" s="68" t="s">
        <v>4107</v>
      </c>
      <c r="W385" s="69" t="e">
        <v>#REF!</v>
      </c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</row>
    <row r="386" spans="1:39">
      <c r="A386" s="50"/>
      <c r="B386" s="52" t="s">
        <v>346</v>
      </c>
      <c r="C386" s="53" t="s">
        <v>25</v>
      </c>
      <c r="D386" s="55" t="s">
        <v>26</v>
      </c>
      <c r="E386" s="53"/>
      <c r="F386" s="56" t="s">
        <v>1362</v>
      </c>
      <c r="G386" s="57" t="s">
        <v>78</v>
      </c>
      <c r="H386" s="58">
        <v>11000</v>
      </c>
      <c r="I386" s="59"/>
      <c r="J386" s="60" t="s">
        <v>4106</v>
      </c>
      <c r="K386" s="61"/>
      <c r="L386" s="62"/>
      <c r="M386" s="64"/>
      <c r="N386" s="65"/>
      <c r="O386" s="65"/>
      <c r="P386" s="65"/>
      <c r="Q386" s="65"/>
      <c r="R386" s="65"/>
      <c r="S386" s="65"/>
      <c r="T386" s="67"/>
      <c r="U386" s="67"/>
      <c r="V386" s="68" t="s">
        <v>4107</v>
      </c>
      <c r="W386" s="69" t="e">
        <v>#REF!</v>
      </c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0"/>
      <c r="AI386" s="70"/>
      <c r="AJ386" s="70"/>
      <c r="AK386" s="70"/>
      <c r="AL386" s="70"/>
      <c r="AM386" s="70"/>
    </row>
    <row r="387" spans="1:39">
      <c r="A387" s="50"/>
      <c r="B387" s="52" t="s">
        <v>348</v>
      </c>
      <c r="C387" s="53" t="s">
        <v>25</v>
      </c>
      <c r="D387" s="55" t="s">
        <v>26</v>
      </c>
      <c r="E387" s="53"/>
      <c r="F387" s="56" t="s">
        <v>1363</v>
      </c>
      <c r="G387" s="57" t="s">
        <v>78</v>
      </c>
      <c r="H387" s="58">
        <v>15000</v>
      </c>
      <c r="I387" s="59"/>
      <c r="J387" s="60" t="s">
        <v>4106</v>
      </c>
      <c r="K387" s="61"/>
      <c r="L387" s="62"/>
      <c r="M387" s="64"/>
      <c r="N387" s="65"/>
      <c r="O387" s="65"/>
      <c r="P387" s="65"/>
      <c r="Q387" s="65"/>
      <c r="R387" s="65"/>
      <c r="S387" s="65"/>
      <c r="T387" s="67"/>
      <c r="U387" s="67"/>
      <c r="V387" s="68" t="s">
        <v>4107</v>
      </c>
      <c r="W387" s="69" t="e">
        <v>#REF!</v>
      </c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70"/>
      <c r="AI387" s="70"/>
      <c r="AJ387" s="70"/>
      <c r="AK387" s="70"/>
      <c r="AL387" s="70"/>
      <c r="AM387" s="70"/>
    </row>
    <row r="388" spans="1:39">
      <c r="A388" s="50"/>
      <c r="B388" s="52" t="s">
        <v>352</v>
      </c>
      <c r="C388" s="53" t="s">
        <v>25</v>
      </c>
      <c r="D388" s="55" t="s">
        <v>26</v>
      </c>
      <c r="E388" s="53"/>
      <c r="F388" s="56" t="s">
        <v>1364</v>
      </c>
      <c r="G388" s="57" t="s">
        <v>78</v>
      </c>
      <c r="H388" s="58">
        <v>27700</v>
      </c>
      <c r="I388" s="59"/>
      <c r="J388" s="60" t="s">
        <v>4106</v>
      </c>
      <c r="K388" s="61"/>
      <c r="L388" s="62"/>
      <c r="M388" s="64"/>
      <c r="N388" s="65"/>
      <c r="O388" s="65"/>
      <c r="P388" s="65"/>
      <c r="Q388" s="65"/>
      <c r="R388" s="65"/>
      <c r="S388" s="65"/>
      <c r="T388" s="67"/>
      <c r="U388" s="67"/>
      <c r="V388" s="68" t="s">
        <v>4107</v>
      </c>
      <c r="W388" s="69" t="e">
        <v>#REF!</v>
      </c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I388" s="70"/>
      <c r="AJ388" s="70"/>
      <c r="AK388" s="70"/>
      <c r="AL388" s="70"/>
      <c r="AM388" s="70"/>
    </row>
    <row r="389" spans="1:39">
      <c r="A389" s="50"/>
      <c r="B389" s="52" t="s">
        <v>645</v>
      </c>
      <c r="C389" s="53" t="s">
        <v>25</v>
      </c>
      <c r="D389" s="55" t="s">
        <v>26</v>
      </c>
      <c r="E389" s="53"/>
      <c r="F389" s="56" t="s">
        <v>1365</v>
      </c>
      <c r="G389" s="57" t="s">
        <v>78</v>
      </c>
      <c r="H389" s="58">
        <v>25000</v>
      </c>
      <c r="I389" s="59"/>
      <c r="J389" s="60" t="s">
        <v>4106</v>
      </c>
      <c r="K389" s="61"/>
      <c r="L389" s="62"/>
      <c r="M389" s="64"/>
      <c r="N389" s="65"/>
      <c r="O389" s="65"/>
      <c r="P389" s="65"/>
      <c r="Q389" s="65"/>
      <c r="R389" s="65"/>
      <c r="S389" s="65"/>
      <c r="T389" s="67"/>
      <c r="U389" s="67"/>
      <c r="V389" s="68" t="s">
        <v>4107</v>
      </c>
      <c r="W389" s="69" t="e">
        <v>#REF!</v>
      </c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/>
      <c r="AM389" s="70"/>
    </row>
    <row r="390" spans="1:39">
      <c r="A390" s="50"/>
      <c r="B390" s="52" t="s">
        <v>643</v>
      </c>
      <c r="C390" s="53" t="s">
        <v>25</v>
      </c>
      <c r="D390" s="55" t="s">
        <v>26</v>
      </c>
      <c r="E390" s="53"/>
      <c r="F390" s="56" t="s">
        <v>1366</v>
      </c>
      <c r="G390" s="57" t="s">
        <v>78</v>
      </c>
      <c r="H390" s="58">
        <v>30000</v>
      </c>
      <c r="I390" s="59"/>
      <c r="J390" s="60" t="s">
        <v>4106</v>
      </c>
      <c r="K390" s="61"/>
      <c r="L390" s="62"/>
      <c r="M390" s="64"/>
      <c r="N390" s="65"/>
      <c r="O390" s="65"/>
      <c r="P390" s="65"/>
      <c r="Q390" s="65"/>
      <c r="R390" s="65"/>
      <c r="S390" s="65"/>
      <c r="T390" s="67"/>
      <c r="U390" s="67"/>
      <c r="V390" s="68" t="s">
        <v>4107</v>
      </c>
      <c r="W390" s="69" t="e">
        <v>#REF!</v>
      </c>
      <c r="X390" s="70"/>
      <c r="Y390" s="70"/>
      <c r="Z390" s="70"/>
      <c r="AA390" s="70"/>
      <c r="AB390" s="70"/>
      <c r="AC390" s="70"/>
      <c r="AD390" s="70"/>
      <c r="AE390" s="70"/>
      <c r="AF390" s="70"/>
      <c r="AG390" s="70"/>
      <c r="AH390" s="70"/>
      <c r="AI390" s="70"/>
      <c r="AJ390" s="70"/>
      <c r="AK390" s="70"/>
      <c r="AL390" s="70"/>
      <c r="AM390" s="70"/>
    </row>
    <row r="391" spans="1:39">
      <c r="A391" s="50"/>
      <c r="B391" s="52" t="s">
        <v>649</v>
      </c>
      <c r="C391" s="53" t="s">
        <v>25</v>
      </c>
      <c r="D391" s="55" t="s">
        <v>26</v>
      </c>
      <c r="E391" s="53"/>
      <c r="F391" s="56" t="s">
        <v>1367</v>
      </c>
      <c r="G391" s="57" t="s">
        <v>78</v>
      </c>
      <c r="H391" s="58">
        <v>40000</v>
      </c>
      <c r="I391" s="59"/>
      <c r="J391" s="60" t="s">
        <v>4106</v>
      </c>
      <c r="K391" s="61"/>
      <c r="L391" s="62"/>
      <c r="M391" s="64"/>
      <c r="N391" s="65"/>
      <c r="O391" s="65"/>
      <c r="P391" s="65"/>
      <c r="Q391" s="65"/>
      <c r="R391" s="65"/>
      <c r="S391" s="65"/>
      <c r="T391" s="67"/>
      <c r="U391" s="67"/>
      <c r="V391" s="68" t="s">
        <v>4107</v>
      </c>
      <c r="W391" s="69" t="e">
        <v>#REF!</v>
      </c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I391" s="70"/>
      <c r="AJ391" s="70"/>
      <c r="AK391" s="70"/>
      <c r="AL391" s="70"/>
      <c r="AM391" s="70"/>
    </row>
    <row r="392" spans="1:39">
      <c r="A392" s="50"/>
      <c r="B392" s="52" t="s">
        <v>651</v>
      </c>
      <c r="C392" s="53" t="s">
        <v>25</v>
      </c>
      <c r="D392" s="55" t="s">
        <v>26</v>
      </c>
      <c r="E392" s="53"/>
      <c r="F392" s="56" t="s">
        <v>1368</v>
      </c>
      <c r="G392" s="57" t="s">
        <v>78</v>
      </c>
      <c r="H392" s="58">
        <v>21400</v>
      </c>
      <c r="I392" s="59"/>
      <c r="J392" s="60" t="s">
        <v>4106</v>
      </c>
      <c r="K392" s="61"/>
      <c r="L392" s="62"/>
      <c r="M392" s="64"/>
      <c r="N392" s="65"/>
      <c r="O392" s="65"/>
      <c r="P392" s="65"/>
      <c r="Q392" s="65"/>
      <c r="R392" s="65"/>
      <c r="S392" s="65"/>
      <c r="T392" s="67"/>
      <c r="U392" s="67"/>
      <c r="V392" s="68" t="s">
        <v>4107</v>
      </c>
      <c r="W392" s="69" t="e">
        <v>#REF!</v>
      </c>
      <c r="X392" s="70"/>
      <c r="Y392" s="70"/>
      <c r="Z392" s="70"/>
      <c r="AA392" s="70"/>
      <c r="AB392" s="70"/>
      <c r="AC392" s="70"/>
      <c r="AD392" s="70"/>
      <c r="AE392" s="70"/>
      <c r="AF392" s="70"/>
      <c r="AG392" s="70"/>
      <c r="AH392" s="70"/>
      <c r="AI392" s="70"/>
      <c r="AJ392" s="70"/>
      <c r="AK392" s="70"/>
      <c r="AL392" s="70"/>
      <c r="AM392" s="70"/>
    </row>
    <row r="393" spans="1:39">
      <c r="A393" s="50"/>
      <c r="B393" s="52" t="s">
        <v>661</v>
      </c>
      <c r="C393" s="53" t="s">
        <v>25</v>
      </c>
      <c r="D393" s="55" t="s">
        <v>26</v>
      </c>
      <c r="E393" s="53"/>
      <c r="F393" s="56" t="s">
        <v>1369</v>
      </c>
      <c r="G393" s="57" t="s">
        <v>28</v>
      </c>
      <c r="H393" s="58">
        <v>7500000</v>
      </c>
      <c r="I393" s="59"/>
      <c r="J393" s="60" t="s">
        <v>4106</v>
      </c>
      <c r="K393" s="61"/>
      <c r="L393" s="62"/>
      <c r="M393" s="64"/>
      <c r="N393" s="65"/>
      <c r="O393" s="65"/>
      <c r="P393" s="65"/>
      <c r="Q393" s="65"/>
      <c r="R393" s="65"/>
      <c r="S393" s="65"/>
      <c r="T393" s="67"/>
      <c r="U393" s="67"/>
      <c r="V393" s="68" t="s">
        <v>4107</v>
      </c>
      <c r="W393" s="69" t="e">
        <v>#REF!</v>
      </c>
      <c r="X393" s="70"/>
      <c r="Y393" s="70"/>
      <c r="Z393" s="70"/>
      <c r="AA393" s="70"/>
      <c r="AB393" s="70"/>
      <c r="AC393" s="70"/>
      <c r="AD393" s="70"/>
      <c r="AE393" s="70"/>
      <c r="AF393" s="70"/>
      <c r="AG393" s="70"/>
      <c r="AH393" s="70"/>
      <c r="AI393" s="70"/>
      <c r="AJ393" s="70"/>
      <c r="AK393" s="70"/>
      <c r="AL393" s="70"/>
      <c r="AM393" s="70"/>
    </row>
    <row r="394" spans="1:39">
      <c r="A394" s="50"/>
      <c r="B394" s="52" t="s">
        <v>655</v>
      </c>
      <c r="C394" s="53" t="s">
        <v>25</v>
      </c>
      <c r="D394" s="55" t="s">
        <v>26</v>
      </c>
      <c r="E394" s="53"/>
      <c r="F394" s="56" t="s">
        <v>1370</v>
      </c>
      <c r="G394" s="57" t="s">
        <v>28</v>
      </c>
      <c r="H394" s="58">
        <v>4000000</v>
      </c>
      <c r="I394" s="59"/>
      <c r="J394" s="60" t="s">
        <v>4106</v>
      </c>
      <c r="K394" s="61"/>
      <c r="L394" s="62"/>
      <c r="M394" s="64"/>
      <c r="N394" s="65"/>
      <c r="O394" s="65"/>
      <c r="P394" s="65"/>
      <c r="Q394" s="65"/>
      <c r="R394" s="65"/>
      <c r="S394" s="65"/>
      <c r="T394" s="67"/>
      <c r="U394" s="67"/>
      <c r="V394" s="68" t="s">
        <v>4107</v>
      </c>
      <c r="W394" s="69" t="e">
        <v>#REF!</v>
      </c>
      <c r="X394" s="70"/>
      <c r="Y394" s="70"/>
      <c r="Z394" s="70"/>
      <c r="AA394" s="70"/>
      <c r="AB394" s="70"/>
      <c r="AC394" s="70"/>
      <c r="AD394" s="70"/>
      <c r="AE394" s="70"/>
      <c r="AF394" s="70"/>
      <c r="AG394" s="70"/>
      <c r="AH394" s="70"/>
      <c r="AI394" s="70"/>
      <c r="AJ394" s="70"/>
      <c r="AK394" s="70"/>
      <c r="AL394" s="70"/>
      <c r="AM394" s="70"/>
    </row>
    <row r="395" spans="1:39">
      <c r="A395" s="50"/>
      <c r="B395" s="52" t="s">
        <v>659</v>
      </c>
      <c r="C395" s="53" t="s">
        <v>25</v>
      </c>
      <c r="D395" s="55" t="s">
        <v>26</v>
      </c>
      <c r="E395" s="53"/>
      <c r="F395" s="56" t="s">
        <v>1373</v>
      </c>
      <c r="G395" s="57" t="s">
        <v>28</v>
      </c>
      <c r="H395" s="58">
        <v>4500000</v>
      </c>
      <c r="I395" s="59"/>
      <c r="J395" s="60" t="s">
        <v>4106</v>
      </c>
      <c r="K395" s="61"/>
      <c r="L395" s="62"/>
      <c r="M395" s="64"/>
      <c r="N395" s="65"/>
      <c r="O395" s="65"/>
      <c r="P395" s="65"/>
      <c r="Q395" s="65"/>
      <c r="R395" s="65"/>
      <c r="S395" s="65"/>
      <c r="T395" s="67"/>
      <c r="U395" s="67"/>
      <c r="V395" s="68" t="s">
        <v>4107</v>
      </c>
      <c r="W395" s="69" t="e">
        <v>#REF!</v>
      </c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</row>
    <row r="396" spans="1:39">
      <c r="A396" s="50"/>
      <c r="B396" s="52" t="s">
        <v>329</v>
      </c>
      <c r="C396" s="53" t="s">
        <v>25</v>
      </c>
      <c r="D396" s="55" t="s">
        <v>26</v>
      </c>
      <c r="E396" s="53"/>
      <c r="F396" s="56" t="s">
        <v>1374</v>
      </c>
      <c r="G396" s="57" t="s">
        <v>28</v>
      </c>
      <c r="H396" s="58">
        <v>6800000</v>
      </c>
      <c r="I396" s="59"/>
      <c r="J396" s="60" t="s">
        <v>4106</v>
      </c>
      <c r="K396" s="61"/>
      <c r="L396" s="62"/>
      <c r="M396" s="64"/>
      <c r="N396" s="65"/>
      <c r="O396" s="65"/>
      <c r="P396" s="65"/>
      <c r="Q396" s="65"/>
      <c r="R396" s="65"/>
      <c r="S396" s="65"/>
      <c r="T396" s="67"/>
      <c r="U396" s="67"/>
      <c r="V396" s="68" t="s">
        <v>4107</v>
      </c>
      <c r="W396" s="69" t="e">
        <v>#REF!</v>
      </c>
      <c r="X396" s="70"/>
      <c r="Y396" s="70"/>
      <c r="Z396" s="70"/>
      <c r="AA396" s="70"/>
      <c r="AB396" s="70"/>
      <c r="AC396" s="70"/>
      <c r="AD396" s="70"/>
      <c r="AE396" s="70"/>
      <c r="AF396" s="70"/>
      <c r="AG396" s="70"/>
      <c r="AH396" s="70"/>
      <c r="AI396" s="70"/>
      <c r="AJ396" s="70"/>
      <c r="AK396" s="70"/>
      <c r="AL396" s="70"/>
      <c r="AM396" s="70"/>
    </row>
    <row r="397" spans="1:39">
      <c r="A397" s="50"/>
      <c r="B397" s="52" t="s">
        <v>332</v>
      </c>
      <c r="C397" s="53" t="s">
        <v>25</v>
      </c>
      <c r="D397" s="55" t="s">
        <v>26</v>
      </c>
      <c r="E397" s="53"/>
      <c r="F397" s="56" t="s">
        <v>1375</v>
      </c>
      <c r="G397" s="57" t="s">
        <v>28</v>
      </c>
      <c r="H397" s="58">
        <v>4000000</v>
      </c>
      <c r="I397" s="59"/>
      <c r="J397" s="60" t="s">
        <v>4106</v>
      </c>
      <c r="K397" s="61"/>
      <c r="L397" s="62"/>
      <c r="M397" s="64"/>
      <c r="N397" s="65"/>
      <c r="O397" s="65"/>
      <c r="P397" s="65"/>
      <c r="Q397" s="65"/>
      <c r="R397" s="65"/>
      <c r="S397" s="65"/>
      <c r="T397" s="67"/>
      <c r="U397" s="67"/>
      <c r="V397" s="68" t="s">
        <v>4107</v>
      </c>
      <c r="W397" s="69" t="e">
        <v>#REF!</v>
      </c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</row>
    <row r="398" spans="1:39">
      <c r="A398" s="50"/>
      <c r="B398" s="52" t="s">
        <v>334</v>
      </c>
      <c r="C398" s="53" t="s">
        <v>25</v>
      </c>
      <c r="D398" s="55" t="s">
        <v>26</v>
      </c>
      <c r="E398" s="53"/>
      <c r="F398" s="56" t="s">
        <v>1378</v>
      </c>
      <c r="G398" s="57" t="s">
        <v>28</v>
      </c>
      <c r="H398" s="58">
        <v>4500000</v>
      </c>
      <c r="I398" s="59"/>
      <c r="J398" s="60" t="s">
        <v>4106</v>
      </c>
      <c r="K398" s="61"/>
      <c r="L398" s="62"/>
      <c r="M398" s="64"/>
      <c r="N398" s="65"/>
      <c r="O398" s="65"/>
      <c r="P398" s="65"/>
      <c r="Q398" s="65"/>
      <c r="R398" s="65"/>
      <c r="S398" s="65"/>
      <c r="T398" s="67"/>
      <c r="U398" s="67"/>
      <c r="V398" s="68" t="s">
        <v>4107</v>
      </c>
      <c r="W398" s="69" t="e">
        <v>#REF!</v>
      </c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</row>
    <row r="399" spans="1:39">
      <c r="A399" s="50"/>
      <c r="B399" s="52" t="s">
        <v>336</v>
      </c>
      <c r="C399" s="53" t="s">
        <v>25</v>
      </c>
      <c r="D399" s="55" t="s">
        <v>26</v>
      </c>
      <c r="E399" s="53"/>
      <c r="F399" s="56" t="s">
        <v>1379</v>
      </c>
      <c r="G399" s="57" t="s">
        <v>28</v>
      </c>
      <c r="H399" s="58">
        <v>2800000</v>
      </c>
      <c r="I399" s="59"/>
      <c r="J399" s="60" t="s">
        <v>4106</v>
      </c>
      <c r="K399" s="61"/>
      <c r="L399" s="62"/>
      <c r="M399" s="64"/>
      <c r="N399" s="65"/>
      <c r="O399" s="65"/>
      <c r="P399" s="65"/>
      <c r="Q399" s="65"/>
      <c r="R399" s="65"/>
      <c r="S399" s="65"/>
      <c r="T399" s="67"/>
      <c r="U399" s="67"/>
      <c r="V399" s="68" t="s">
        <v>4107</v>
      </c>
      <c r="W399" s="69" t="e">
        <v>#REF!</v>
      </c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</row>
    <row r="400" spans="1:39">
      <c r="A400" s="50"/>
      <c r="B400" s="52" t="s">
        <v>338</v>
      </c>
      <c r="C400" s="53" t="s">
        <v>25</v>
      </c>
      <c r="D400" s="55" t="s">
        <v>26</v>
      </c>
      <c r="E400" s="53"/>
      <c r="F400" s="56" t="s">
        <v>1382</v>
      </c>
      <c r="G400" s="57" t="s">
        <v>28</v>
      </c>
      <c r="H400" s="58">
        <v>3300000</v>
      </c>
      <c r="I400" s="59"/>
      <c r="J400" s="60" t="s">
        <v>4106</v>
      </c>
      <c r="K400" s="61"/>
      <c r="L400" s="62"/>
      <c r="M400" s="64"/>
      <c r="N400" s="65"/>
      <c r="O400" s="65"/>
      <c r="P400" s="65"/>
      <c r="Q400" s="65"/>
      <c r="R400" s="65"/>
      <c r="S400" s="65"/>
      <c r="T400" s="67"/>
      <c r="U400" s="67"/>
      <c r="V400" s="68" t="s">
        <v>4107</v>
      </c>
      <c r="W400" s="69" t="e">
        <v>#REF!</v>
      </c>
      <c r="X400" s="70"/>
      <c r="Y400" s="70"/>
      <c r="Z400" s="70"/>
      <c r="AA400" s="70"/>
      <c r="AB400" s="70"/>
      <c r="AC400" s="70"/>
      <c r="AD400" s="70"/>
      <c r="AE400" s="70"/>
      <c r="AF400" s="70"/>
      <c r="AG400" s="70"/>
      <c r="AH400" s="70"/>
      <c r="AI400" s="70"/>
      <c r="AJ400" s="70"/>
      <c r="AK400" s="70"/>
      <c r="AL400" s="70"/>
      <c r="AM400" s="70"/>
    </row>
    <row r="401" spans="1:39">
      <c r="A401" s="50"/>
      <c r="B401" s="52" t="s">
        <v>83</v>
      </c>
      <c r="C401" s="53" t="s">
        <v>25</v>
      </c>
      <c r="D401" s="55" t="s">
        <v>26</v>
      </c>
      <c r="E401" s="53"/>
      <c r="F401" s="56" t="s">
        <v>1383</v>
      </c>
      <c r="G401" s="57" t="s">
        <v>28</v>
      </c>
      <c r="H401" s="58">
        <v>2900000</v>
      </c>
      <c r="I401" s="59"/>
      <c r="J401" s="60" t="s">
        <v>4106</v>
      </c>
      <c r="K401" s="61"/>
      <c r="L401" s="62"/>
      <c r="M401" s="64"/>
      <c r="N401" s="65"/>
      <c r="O401" s="65"/>
      <c r="P401" s="65"/>
      <c r="Q401" s="65"/>
      <c r="R401" s="65"/>
      <c r="S401" s="65"/>
      <c r="T401" s="67"/>
      <c r="U401" s="67"/>
      <c r="V401" s="68" t="s">
        <v>4107</v>
      </c>
      <c r="W401" s="69" t="e">
        <v>#REF!</v>
      </c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</row>
    <row r="402" spans="1:39" ht="47.25">
      <c r="A402" s="50"/>
      <c r="B402" s="52" t="s">
        <v>274</v>
      </c>
      <c r="C402" s="53" t="s">
        <v>25</v>
      </c>
      <c r="D402" s="55" t="s">
        <v>26</v>
      </c>
      <c r="E402" s="53"/>
      <c r="F402" s="56" t="s">
        <v>1384</v>
      </c>
      <c r="G402" s="57" t="s">
        <v>28</v>
      </c>
      <c r="H402" s="58">
        <v>950000</v>
      </c>
      <c r="I402" s="59"/>
      <c r="J402" s="60" t="s">
        <v>4106</v>
      </c>
      <c r="K402" s="61"/>
      <c r="L402" s="62"/>
      <c r="M402" s="64"/>
      <c r="N402" s="65"/>
      <c r="O402" s="65"/>
      <c r="P402" s="65"/>
      <c r="Q402" s="65"/>
      <c r="R402" s="65"/>
      <c r="S402" s="65"/>
      <c r="T402" s="67"/>
      <c r="U402" s="67"/>
      <c r="V402" s="68" t="s">
        <v>4107</v>
      </c>
      <c r="W402" s="69" t="e">
        <v>#REF!</v>
      </c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</row>
    <row r="403" spans="1:39" ht="31.5">
      <c r="A403" s="50"/>
      <c r="B403" s="52" t="s">
        <v>276</v>
      </c>
      <c r="C403" s="53" t="s">
        <v>25</v>
      </c>
      <c r="D403" s="55" t="s">
        <v>26</v>
      </c>
      <c r="E403" s="53"/>
      <c r="F403" s="56" t="s">
        <v>1385</v>
      </c>
      <c r="G403" s="57" t="s">
        <v>28</v>
      </c>
      <c r="H403" s="58">
        <v>2119000</v>
      </c>
      <c r="I403" s="59"/>
      <c r="J403" s="60" t="s">
        <v>4106</v>
      </c>
      <c r="K403" s="61"/>
      <c r="L403" s="62"/>
      <c r="M403" s="64"/>
      <c r="N403" s="65"/>
      <c r="O403" s="65"/>
      <c r="P403" s="65"/>
      <c r="Q403" s="65"/>
      <c r="R403" s="65"/>
      <c r="S403" s="65"/>
      <c r="T403" s="67"/>
      <c r="U403" s="67"/>
      <c r="V403" s="68" t="s">
        <v>4107</v>
      </c>
      <c r="W403" s="69" t="e">
        <v>#REF!</v>
      </c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</row>
    <row r="404" spans="1:39" ht="31.5">
      <c r="A404" s="50"/>
      <c r="B404" s="52" t="s">
        <v>280</v>
      </c>
      <c r="C404" s="53" t="s">
        <v>25</v>
      </c>
      <c r="D404" s="55" t="s">
        <v>26</v>
      </c>
      <c r="E404" s="53"/>
      <c r="F404" s="56" t="s">
        <v>1386</v>
      </c>
      <c r="G404" s="57" t="s">
        <v>28</v>
      </c>
      <c r="H404" s="58">
        <v>2400000</v>
      </c>
      <c r="I404" s="59"/>
      <c r="J404" s="60" t="s">
        <v>4106</v>
      </c>
      <c r="K404" s="61"/>
      <c r="L404" s="62"/>
      <c r="M404" s="64"/>
      <c r="N404" s="65"/>
      <c r="O404" s="65"/>
      <c r="P404" s="65"/>
      <c r="Q404" s="65"/>
      <c r="R404" s="65"/>
      <c r="S404" s="65"/>
      <c r="T404" s="67"/>
      <c r="U404" s="67"/>
      <c r="V404" s="68" t="s">
        <v>4107</v>
      </c>
      <c r="W404" s="69" t="e">
        <v>#REF!</v>
      </c>
      <c r="X404" s="70"/>
      <c r="Y404" s="70"/>
      <c r="Z404" s="70"/>
      <c r="AA404" s="70"/>
      <c r="AB404" s="70"/>
      <c r="AC404" s="70"/>
      <c r="AD404" s="70"/>
      <c r="AE404" s="70"/>
      <c r="AF404" s="70"/>
      <c r="AG404" s="70"/>
      <c r="AH404" s="70"/>
      <c r="AI404" s="70"/>
      <c r="AJ404" s="70"/>
      <c r="AK404" s="70"/>
      <c r="AL404" s="70"/>
      <c r="AM404" s="70"/>
    </row>
    <row r="405" spans="1:39">
      <c r="A405" s="50"/>
      <c r="B405" s="52" t="s">
        <v>282</v>
      </c>
      <c r="C405" s="53" t="s">
        <v>25</v>
      </c>
      <c r="D405" s="55" t="s">
        <v>26</v>
      </c>
      <c r="E405" s="53"/>
      <c r="F405" s="56" t="s">
        <v>1387</v>
      </c>
      <c r="G405" s="57" t="s">
        <v>28</v>
      </c>
      <c r="H405" s="58">
        <v>398000</v>
      </c>
      <c r="I405" s="59"/>
      <c r="J405" s="60" t="s">
        <v>4106</v>
      </c>
      <c r="K405" s="61"/>
      <c r="L405" s="62"/>
      <c r="M405" s="64"/>
      <c r="N405" s="65"/>
      <c r="O405" s="65"/>
      <c r="P405" s="65"/>
      <c r="Q405" s="65"/>
      <c r="R405" s="65"/>
      <c r="S405" s="65"/>
      <c r="T405" s="67"/>
      <c r="U405" s="67"/>
      <c r="V405" s="68" t="s">
        <v>4107</v>
      </c>
      <c r="W405" s="69" t="e">
        <v>#REF!</v>
      </c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</row>
    <row r="406" spans="1:39" ht="31.5">
      <c r="A406" s="50"/>
      <c r="B406" s="52" t="s">
        <v>286</v>
      </c>
      <c r="C406" s="53" t="s">
        <v>25</v>
      </c>
      <c r="D406" s="55" t="s">
        <v>26</v>
      </c>
      <c r="E406" s="53"/>
      <c r="F406" s="56" t="s">
        <v>1388</v>
      </c>
      <c r="G406" s="57" t="s">
        <v>28</v>
      </c>
      <c r="H406" s="58">
        <v>590000</v>
      </c>
      <c r="I406" s="59"/>
      <c r="J406" s="60" t="s">
        <v>4106</v>
      </c>
      <c r="K406" s="61"/>
      <c r="L406" s="62"/>
      <c r="M406" s="64"/>
      <c r="N406" s="65"/>
      <c r="O406" s="65"/>
      <c r="P406" s="65"/>
      <c r="Q406" s="65"/>
      <c r="R406" s="65"/>
      <c r="S406" s="65"/>
      <c r="T406" s="67"/>
      <c r="U406" s="67"/>
      <c r="V406" s="68" t="s">
        <v>4107</v>
      </c>
      <c r="W406" s="69" t="e">
        <v>#REF!</v>
      </c>
      <c r="X406" s="70"/>
      <c r="Y406" s="70"/>
      <c r="Z406" s="70"/>
      <c r="AA406" s="70"/>
      <c r="AB406" s="70"/>
      <c r="AC406" s="70"/>
      <c r="AD406" s="70"/>
      <c r="AE406" s="70"/>
      <c r="AF406" s="70"/>
      <c r="AG406" s="70"/>
      <c r="AH406" s="70"/>
      <c r="AI406" s="70"/>
      <c r="AJ406" s="70"/>
      <c r="AK406" s="70"/>
      <c r="AL406" s="70"/>
      <c r="AM406" s="70"/>
    </row>
    <row r="407" spans="1:39" ht="31.5">
      <c r="A407" s="50"/>
      <c r="B407" s="52" t="s">
        <v>288</v>
      </c>
      <c r="C407" s="53" t="s">
        <v>25</v>
      </c>
      <c r="D407" s="55" t="s">
        <v>26</v>
      </c>
      <c r="E407" s="53"/>
      <c r="F407" s="56" t="s">
        <v>1389</v>
      </c>
      <c r="G407" s="57" t="s">
        <v>28</v>
      </c>
      <c r="H407" s="58">
        <v>1100000</v>
      </c>
      <c r="I407" s="59"/>
      <c r="J407" s="60" t="s">
        <v>4106</v>
      </c>
      <c r="K407" s="61"/>
      <c r="L407" s="62"/>
      <c r="M407" s="64"/>
      <c r="N407" s="65"/>
      <c r="O407" s="65"/>
      <c r="P407" s="65"/>
      <c r="Q407" s="65"/>
      <c r="R407" s="65"/>
      <c r="S407" s="65"/>
      <c r="T407" s="67"/>
      <c r="U407" s="67"/>
      <c r="V407" s="68" t="s">
        <v>4107</v>
      </c>
      <c r="W407" s="69" t="e">
        <v>#REF!</v>
      </c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</row>
    <row r="408" spans="1:39">
      <c r="A408" s="50"/>
      <c r="B408" s="52" t="s">
        <v>46</v>
      </c>
      <c r="C408" s="53" t="s">
        <v>25</v>
      </c>
      <c r="D408" s="55" t="s">
        <v>26</v>
      </c>
      <c r="E408" s="53"/>
      <c r="F408" s="56" t="s">
        <v>1390</v>
      </c>
      <c r="G408" s="57" t="s">
        <v>53</v>
      </c>
      <c r="H408" s="58">
        <v>8500</v>
      </c>
      <c r="I408" s="59"/>
      <c r="J408" s="60" t="s">
        <v>4106</v>
      </c>
      <c r="K408" s="61"/>
      <c r="L408" s="62"/>
      <c r="M408" s="64"/>
      <c r="N408" s="65"/>
      <c r="O408" s="65"/>
      <c r="P408" s="65"/>
      <c r="Q408" s="65"/>
      <c r="R408" s="65"/>
      <c r="S408" s="65"/>
      <c r="T408" s="67"/>
      <c r="U408" s="67"/>
      <c r="V408" s="68" t="s">
        <v>4107</v>
      </c>
      <c r="W408" s="69" t="e">
        <v>#REF!</v>
      </c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</row>
    <row r="409" spans="1:39">
      <c r="A409" s="50"/>
      <c r="B409" s="52" t="s">
        <v>49</v>
      </c>
      <c r="C409" s="53" t="s">
        <v>25</v>
      </c>
      <c r="D409" s="55" t="s">
        <v>26</v>
      </c>
      <c r="E409" s="53"/>
      <c r="F409" s="56" t="s">
        <v>1391</v>
      </c>
      <c r="G409" s="57" t="s">
        <v>53</v>
      </c>
      <c r="H409" s="58">
        <v>12000</v>
      </c>
      <c r="I409" s="59"/>
      <c r="J409" s="60" t="s">
        <v>4106</v>
      </c>
      <c r="K409" s="61"/>
      <c r="L409" s="62"/>
      <c r="M409" s="64"/>
      <c r="N409" s="65"/>
      <c r="O409" s="65"/>
      <c r="P409" s="65"/>
      <c r="Q409" s="65"/>
      <c r="R409" s="65"/>
      <c r="S409" s="65"/>
      <c r="T409" s="67"/>
      <c r="U409" s="67"/>
      <c r="V409" s="68" t="s">
        <v>4107</v>
      </c>
      <c r="W409" s="69" t="e">
        <v>#REF!</v>
      </c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</row>
    <row r="410" spans="1:39">
      <c r="A410" s="50"/>
      <c r="B410" s="52" t="s">
        <v>469</v>
      </c>
      <c r="C410" s="53" t="s">
        <v>25</v>
      </c>
      <c r="D410" s="55" t="s">
        <v>26</v>
      </c>
      <c r="E410" s="53"/>
      <c r="F410" s="56" t="s">
        <v>1392</v>
      </c>
      <c r="G410" s="57" t="s">
        <v>53</v>
      </c>
      <c r="H410" s="58">
        <v>17000</v>
      </c>
      <c r="I410" s="59"/>
      <c r="J410" s="60" t="s">
        <v>4106</v>
      </c>
      <c r="K410" s="61"/>
      <c r="L410" s="62"/>
      <c r="M410" s="64"/>
      <c r="N410" s="65"/>
      <c r="O410" s="65"/>
      <c r="P410" s="65"/>
      <c r="Q410" s="65"/>
      <c r="R410" s="65"/>
      <c r="S410" s="65"/>
      <c r="T410" s="67"/>
      <c r="U410" s="67"/>
      <c r="V410" s="68" t="s">
        <v>4107</v>
      </c>
      <c r="W410" s="69" t="e">
        <v>#REF!</v>
      </c>
      <c r="X410" s="70"/>
      <c r="Y410" s="70"/>
      <c r="Z410" s="70"/>
      <c r="AA410" s="70"/>
      <c r="AB410" s="70"/>
      <c r="AC410" s="70"/>
      <c r="AD410" s="70"/>
      <c r="AE410" s="70"/>
      <c r="AF410" s="70"/>
      <c r="AG410" s="70"/>
      <c r="AH410" s="70"/>
      <c r="AI410" s="70"/>
      <c r="AJ410" s="70"/>
      <c r="AK410" s="70"/>
      <c r="AL410" s="70"/>
      <c r="AM410" s="70"/>
    </row>
    <row r="411" spans="1:39">
      <c r="A411" s="50"/>
      <c r="B411" s="52" t="s">
        <v>472</v>
      </c>
      <c r="C411" s="53" t="s">
        <v>25</v>
      </c>
      <c r="D411" s="55" t="s">
        <v>26</v>
      </c>
      <c r="E411" s="53"/>
      <c r="F411" s="56" t="s">
        <v>1393</v>
      </c>
      <c r="G411" s="57" t="s">
        <v>78</v>
      </c>
      <c r="H411" s="58">
        <v>5600</v>
      </c>
      <c r="I411" s="59"/>
      <c r="J411" s="60" t="s">
        <v>4106</v>
      </c>
      <c r="K411" s="61"/>
      <c r="L411" s="62"/>
      <c r="M411" s="64"/>
      <c r="N411" s="65"/>
      <c r="O411" s="65"/>
      <c r="P411" s="65"/>
      <c r="Q411" s="65"/>
      <c r="R411" s="65"/>
      <c r="S411" s="65"/>
      <c r="T411" s="67"/>
      <c r="U411" s="67"/>
      <c r="V411" s="68" t="s">
        <v>4107</v>
      </c>
      <c r="W411" s="69" t="e">
        <v>#REF!</v>
      </c>
      <c r="X411" s="70"/>
      <c r="Y411" s="70"/>
      <c r="Z411" s="70"/>
      <c r="AA411" s="70"/>
      <c r="AB411" s="70"/>
      <c r="AC411" s="70"/>
      <c r="AD411" s="70"/>
      <c r="AE411" s="70"/>
      <c r="AF411" s="70"/>
      <c r="AG411" s="70"/>
      <c r="AH411" s="70"/>
      <c r="AI411" s="70"/>
      <c r="AJ411" s="70"/>
      <c r="AK411" s="70"/>
      <c r="AL411" s="70"/>
      <c r="AM411" s="70"/>
    </row>
    <row r="412" spans="1:39">
      <c r="A412" s="50"/>
      <c r="B412" s="52" t="s">
        <v>475</v>
      </c>
      <c r="C412" s="53" t="s">
        <v>25</v>
      </c>
      <c r="D412" s="55" t="s">
        <v>26</v>
      </c>
      <c r="E412" s="53"/>
      <c r="F412" s="56" t="s">
        <v>1394</v>
      </c>
      <c r="G412" s="57" t="s">
        <v>78</v>
      </c>
      <c r="H412" s="58">
        <v>6900</v>
      </c>
      <c r="I412" s="59"/>
      <c r="J412" s="60" t="s">
        <v>4106</v>
      </c>
      <c r="K412" s="61"/>
      <c r="L412" s="62"/>
      <c r="M412" s="64"/>
      <c r="N412" s="65"/>
      <c r="O412" s="65"/>
      <c r="P412" s="65"/>
      <c r="Q412" s="65"/>
      <c r="R412" s="65"/>
      <c r="S412" s="65"/>
      <c r="T412" s="67"/>
      <c r="U412" s="67"/>
      <c r="V412" s="68" t="s">
        <v>4107</v>
      </c>
      <c r="W412" s="69" t="e">
        <v>#REF!</v>
      </c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</row>
    <row r="413" spans="1:39">
      <c r="A413" s="50"/>
      <c r="B413" s="52" t="s">
        <v>1395</v>
      </c>
      <c r="C413" s="53" t="s">
        <v>1396</v>
      </c>
      <c r="D413" s="55" t="s">
        <v>26</v>
      </c>
      <c r="E413" s="53"/>
      <c r="F413" s="56" t="s">
        <v>1397</v>
      </c>
      <c r="G413" s="57" t="s">
        <v>273</v>
      </c>
      <c r="H413" s="58">
        <v>47000</v>
      </c>
      <c r="I413" s="59"/>
      <c r="J413" s="60" t="s">
        <v>4106</v>
      </c>
      <c r="K413" s="61"/>
      <c r="L413" s="62"/>
      <c r="M413" s="64"/>
      <c r="N413" s="65"/>
      <c r="O413" s="65"/>
      <c r="P413" s="65"/>
      <c r="Q413" s="65"/>
      <c r="R413" s="65"/>
      <c r="S413" s="65"/>
      <c r="T413" s="67"/>
      <c r="U413" s="67"/>
      <c r="V413" s="68" t="s">
        <v>4108</v>
      </c>
      <c r="W413" s="69" t="e">
        <v>#REF!</v>
      </c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</row>
    <row r="414" spans="1:39" ht="31.5">
      <c r="A414" s="50"/>
      <c r="B414" s="52" t="s">
        <v>1398</v>
      </c>
      <c r="C414" s="53" t="s">
        <v>1396</v>
      </c>
      <c r="D414" s="55" t="s">
        <v>26</v>
      </c>
      <c r="E414" s="53"/>
      <c r="F414" s="56" t="s">
        <v>1399</v>
      </c>
      <c r="G414" s="57" t="s">
        <v>78</v>
      </c>
      <c r="H414" s="58">
        <v>55000</v>
      </c>
      <c r="I414" s="59"/>
      <c r="J414" s="60" t="s">
        <v>4106</v>
      </c>
      <c r="K414" s="61"/>
      <c r="L414" s="62"/>
      <c r="M414" s="64"/>
      <c r="N414" s="65"/>
      <c r="O414" s="65"/>
      <c r="P414" s="65"/>
      <c r="Q414" s="65"/>
      <c r="R414" s="65"/>
      <c r="S414" s="65"/>
      <c r="T414" s="67"/>
      <c r="U414" s="67"/>
      <c r="V414" s="68" t="s">
        <v>4108</v>
      </c>
      <c r="W414" s="69" t="e">
        <v>#REF!</v>
      </c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</row>
  </sheetData>
  <autoFilter ref="A1:Z414" xr:uid="{00000000-0009-0000-0000-000002000000}"/>
  <mergeCells count="29">
    <mergeCell ref="D2:F2"/>
    <mergeCell ref="D22:F22"/>
    <mergeCell ref="D107:F107"/>
    <mergeCell ref="D124:F124"/>
    <mergeCell ref="D42:F42"/>
    <mergeCell ref="D26:F26"/>
    <mergeCell ref="D49:F49"/>
    <mergeCell ref="D30:F30"/>
    <mergeCell ref="X79:Z79"/>
    <mergeCell ref="X107:Z107"/>
    <mergeCell ref="Q172:S172"/>
    <mergeCell ref="J172:L172"/>
    <mergeCell ref="D25:F25"/>
    <mergeCell ref="X162:Z162"/>
    <mergeCell ref="X172:Z172"/>
    <mergeCell ref="X62:Z62"/>
    <mergeCell ref="D62:F62"/>
    <mergeCell ref="Q162:S162"/>
    <mergeCell ref="D79:F79"/>
    <mergeCell ref="J62:L62"/>
    <mergeCell ref="Q62:S62"/>
    <mergeCell ref="J162:L162"/>
    <mergeCell ref="X124:Z124"/>
    <mergeCell ref="Q124:S124"/>
    <mergeCell ref="Q79:S79"/>
    <mergeCell ref="Q107:S107"/>
    <mergeCell ref="J124:L124"/>
    <mergeCell ref="J79:L79"/>
    <mergeCell ref="J107:L107"/>
  </mergeCells>
  <conditionalFormatting sqref="A288">
    <cfRule type="notContainsBlanks" dxfId="304" priority="4">
      <formula>LEN(TRIM(A288))&gt;0</formula>
    </cfRule>
  </conditionalFormatting>
  <conditionalFormatting sqref="N160:S160 N288:S288">
    <cfRule type="notContainsBlanks" dxfId="303" priority="5">
      <formula>LEN(TRIM(N160))&gt;0</formula>
    </cfRule>
  </conditionalFormatting>
  <conditionalFormatting sqref="N3:S414">
    <cfRule type="cellIs" dxfId="302" priority="6" operator="equal">
      <formula>"พร้อม"</formula>
    </cfRule>
  </conditionalFormatting>
  <conditionalFormatting sqref="T3:U414">
    <cfRule type="cellIs" dxfId="301" priority="7" operator="greaterThanOrEqual">
      <formula>2561</formula>
    </cfRule>
  </conditionalFormatting>
  <conditionalFormatting sqref="N3:S414">
    <cfRule type="cellIs" dxfId="300" priority="8" operator="equal">
      <formula>1</formula>
    </cfRule>
  </conditionalFormatting>
  <conditionalFormatting sqref="A2:A414">
    <cfRule type="cellIs" dxfId="299" priority="10" operator="equal">
      <formula>"รอเข้าพิจารณา คุณลักษณะฯ"</formula>
    </cfRule>
  </conditionalFormatting>
  <conditionalFormatting sqref="A2:A414">
    <cfRule type="containsText" dxfId="298" priority="11" operator="containsText" text="รอการขอยกเลิกคุณลักษณะ">
      <formula>NOT(ISERROR(SEARCH(("รอการขอยกเลิกคุณลักษณะ"),(A2))))</formula>
    </cfRule>
  </conditionalFormatting>
  <conditionalFormatting sqref="D3:D6 J30 Q30 X30 J62 Q62 X62 J79:J80 Q79:Q80 X79:X80 Q121 X121 Q135 X135 J173 Q173 X173 J183 Q183 X183 C187 J187 Q187 X187 C195 J195 Q195 X195 C199 I199:J199 P199:Q199 W199:X199 C225:C226 I225:J226 P225:Q226 X225:X226 A229 C229 H229:J229 O229:Q229 V229 X229 A232:A233 C232:C233 G232:J233 N232:Q233 U232:V233 X232:X233 F233 M233 T233 A236 C236 E236:J236 L236:Q236 S236:V236 X236 Z236:AM236 V239 V242:V244 V251 V253:V254 V257 V263:V264 V266:V267 A280 C280 E280:J280 L280:Q280 S280:U280 X280 Z280:AM280 A287:A289 C287:C289 E287:U289 X287:AM289 N302:S302 A318 C318 E318:V318 X318:AM318 A323:A324 C323:C324 E323:V324 X323:AM324 A328 C328 E328:V328 X328:AM328 A331 C331 E331:V331 X331:AM331 D8:D24 D26:D41 D43:D128 W225:W268 D131:D414">
    <cfRule type="beginsWith" dxfId="297" priority="12" operator="beginsWith" text="พัสดุ">
      <formula>LEFT((D3),LEN("พัสดุ"))=("พัสดุ")</formula>
    </cfRule>
  </conditionalFormatting>
  <conditionalFormatting sqref="D3:D6 J30 Q30 X30 J62 Q62 X62 J79:J80 Q79:Q80 X79:X80 Q121 X121 Q135 X135 J173 Q173 X173 J183 Q183 X183 C187 J187 Q187 X187 C195 J195 Q195 X195 C199 I199:J199 P199:Q199 W199:X199 C225:C226 I225:J226 P225:Q226 X225:X226 A229 C229 H229:J229 O229:Q229 V229 X229 A232:A233 C232:C233 G232:J233 N232:Q233 U232:V233 X232:X233 F233 M233 T233 A236 C236 E236:J236 L236:Q236 S236:V236 X236 Z236:AM236 V239 V242:V244 V251 V253:V254 V257 V263:V264 V266:V267 A280 C280 E280:J280 L280:Q280 S280:U280 X280 Z280:AM280 A287:A289 C287:C289 E287:U289 X287:AM289 N302:S302 A318 C318 E318:V318 X318:AM318 A323:A324 C323:C324 E323:V324 X323:AM324 A328 C328 E328:V328 X328:AM328 A331 C331 E331:V331 X331:AM331">
    <cfRule type="beginsWith" dxfId="296" priority="15" operator="beginsWith" text="พัสดุ">
      <formula>LEFT((D3),LEN("พัสดุ"))=("พัสดุ")</formula>
    </cfRule>
  </conditionalFormatting>
  <conditionalFormatting sqref="A2:A414">
    <cfRule type="cellIs" dxfId="295" priority="16" operator="equal">
      <formula>"อยู่ระหว่างการพิจารณา คุณลักษณะฯ"</formula>
    </cfRule>
  </conditionalFormatting>
  <conditionalFormatting sqref="A2:A414">
    <cfRule type="containsText" dxfId="294" priority="17" operator="containsText" text="ผ่านการพิจารณา รอ จก.ชย.ทอ.ลงนาม">
      <formula>NOT(ISERROR(SEARCH(("ผ่านการพิจารณา รอ จก.ชย.ทอ.ลงนาม"),(A2))))</formula>
    </cfRule>
  </conditionalFormatting>
  <conditionalFormatting sqref="A2:A414">
    <cfRule type="containsText" dxfId="293" priority="19" operator="containsText" text="ผ่านการพิจารณาคำแนะนำ รอ จก.ชย.ทอ.ลงนาม">
      <formula>NOT(ISERROR(SEARCH(("ผ่านการพิจารณาคำแนะนำ รอ จก.ชย.ทอ.ลงนาม"),(A2))))</formula>
    </cfRule>
  </conditionalFormatting>
  <conditionalFormatting sqref="A2:A414">
    <cfRule type="beginsWith" dxfId="292" priority="20" operator="beginsWith" text="เอกสารไม่พร้อม">
      <formula>LEFT((A2),LEN("เอกสารไม่พร้อม"))=("เอกสารไม่พร้อม")</formula>
    </cfRule>
  </conditionalFormatting>
  <conditionalFormatting sqref="A2:A414">
    <cfRule type="notContainsBlanks" dxfId="291" priority="21">
      <formula>LEN(TRIM(A2))&gt;0</formula>
    </cfRule>
  </conditionalFormatting>
  <conditionalFormatting sqref="A2 A22 A25:A26 A30 A42 A49">
    <cfRule type="cellIs" dxfId="290" priority="28" operator="equal">
      <formula>"อยู่ระหว่างการพิจารณา คุณลักษณะฯ"</formula>
    </cfRule>
  </conditionalFormatting>
  <conditionalFormatting sqref="A2 A22 A25:A26 A30 A42 A49">
    <cfRule type="containsText" dxfId="289" priority="29" operator="containsText" text="ผ่านการพิจารณา รอ จก.ชย.ทอ.ลงนาม">
      <formula>NOT(ISERROR(SEARCH(("ผ่านการพิจารณา รอ จก.ชย.ทอ.ลงนาม"),(A2))))</formula>
    </cfRule>
  </conditionalFormatting>
  <conditionalFormatting sqref="A2 A22 A25:A26 A30 A42 A49">
    <cfRule type="containsText" dxfId="288" priority="30" operator="containsText" text="รอการขอยกเลิกคุณลักษณะ">
      <formula>NOT(ISERROR(SEARCH(("รอการขอยกเลิกคุณลักษณะ"),(A2))))</formula>
    </cfRule>
  </conditionalFormatting>
  <conditionalFormatting sqref="A2 A22 A25:A26 A30 A42 A49">
    <cfRule type="containsText" dxfId="287" priority="31" operator="containsText" text="ผ่านการพิจารณาคำแนะนำ รอ จก.ชย.ทอ.ลงนาม">
      <formula>NOT(ISERROR(SEARCH(("ผ่านการพิจารณาคำแนะนำ รอ จก.ชย.ทอ.ลงนาม"),(A2))))</formula>
    </cfRule>
  </conditionalFormatting>
  <conditionalFormatting sqref="A2 A22 A25:A26 A30 A42 A49">
    <cfRule type="beginsWith" dxfId="286" priority="32" operator="beginsWith" text="เอกสารไม่พร้อม">
      <formula>LEFT((A2),LEN("เอกสารไม่พร้อม"))=("เอกสารไม่พร้อม")</formula>
    </cfRule>
  </conditionalFormatting>
  <conditionalFormatting sqref="A2 A22 A25:A26 A30 A42 A49">
    <cfRule type="notContainsBlanks" dxfId="285" priority="33">
      <formula>LEN(TRIM(A2))&gt;0</formula>
    </cfRule>
  </conditionalFormatting>
  <conditionalFormatting sqref="N2:S2 N22:S22 N25:S26 N30:S30 N42:S42 N49:S49">
    <cfRule type="cellIs" dxfId="284" priority="34" operator="equal">
      <formula>"พร้อม"</formula>
    </cfRule>
  </conditionalFormatting>
  <conditionalFormatting sqref="N2:S2 N22:S22 N25:S26 N30:S30 N42:S42 N49:S49">
    <cfRule type="cellIs" dxfId="283" priority="35" operator="equal">
      <formula>1</formula>
    </cfRule>
  </conditionalFormatting>
  <conditionalFormatting sqref="D2 D22 J22 Q22 X22 D25:D26 J25:J26 Q25:Q26 X25:X26 D30 J30 Q30 X30 D42 J42 Q42 X42 D49 J49 Q49 X49 D62 J62 Q62 X62 J79:J80 Q79:Q80 X79:X80 D121 Q121 X121 D137 Q135 X135 D173 J173 Q173 X173 D183 J183 Q183 X183 C187 J187 Q187 X187 C195 J195 Q195 X195 I199 P199 W199 I225:I226 P225:P226 A229 H229:I229 O229:P229 V229 A232:A233 G232:I233 N232:P233 U232:V233 F233 M233 T233 A236 E236:I236 L236:P236 S236:V236 Z236:AM236 V239 V242:V244 V251 V253:V254 V257 V263:V264 V266:V267 A280 E280:I280 L280:P280 S280:U280 Z280:AM280 A287:A289 D287:I289 K287:P289 R287:U289 Y287:AM289 N302:P302 R302:S302 A318 D318:I318 K318:P318 R318:V318 Y318:AM318 A323:A324 C323:V324 X323:AM324 A328 C328:V328 X328:AM328 A331 C331:V331 X331:AM331">
    <cfRule type="beginsWith" dxfId="282" priority="36" operator="beginsWith" text="พัสดุ">
      <formula>LEFT((D2),LEN("พัสดุ"))=("พัสดุ")</formula>
    </cfRule>
  </conditionalFormatting>
  <conditionalFormatting sqref="N2:S2 N22:S22 N25:S26 N30:S30 N42:S42 N49:S49">
    <cfRule type="cellIs" dxfId="281" priority="37" operator="equal">
      <formula>1</formula>
    </cfRule>
  </conditionalFormatting>
  <conditionalFormatting sqref="T1:U1">
    <cfRule type="cellIs" dxfId="280" priority="43" operator="greaterThanOrEqual">
      <formula>2561</formula>
    </cfRule>
  </conditionalFormatting>
  <conditionalFormatting sqref="N1:S1">
    <cfRule type="cellIs" dxfId="279" priority="46" operator="equal">
      <formula>1</formula>
    </cfRule>
  </conditionalFormatting>
  <conditionalFormatting sqref="M1:M414">
    <cfRule type="notContainsBlanks" dxfId="278" priority="47">
      <formula>LEN(TRIM(M1))&gt;0</formula>
    </cfRule>
  </conditionalFormatting>
  <conditionalFormatting sqref="D7">
    <cfRule type="beginsWith" dxfId="277" priority="2" operator="beginsWith" text="พัสดุ">
      <formula>LEFT((G7),LEN("พัสดุ"))=("พัสดุ")</formula>
    </cfRule>
  </conditionalFormatting>
  <conditionalFormatting sqref="D7">
    <cfRule type="beginsWith" dxfId="276" priority="3" operator="beginsWith" text="พัสดุ">
      <formula>LEFT((G7),LEN("พัสดุ"))=("พัสดุ")</formula>
    </cfRule>
  </conditionalFormatting>
  <conditionalFormatting sqref="J137">
    <cfRule type="beginsWith" dxfId="275" priority="141" operator="beginsWith" text="พัสดุ">
      <formula>LEFT((M135),LEN("พัสดุ"))=("พัสดุ")</formula>
    </cfRule>
  </conditionalFormatting>
  <conditionalFormatting sqref="D129:D130">
    <cfRule type="beginsWith" dxfId="274" priority="1" operator="beginsWith" text="พัสดุ">
      <formula>LEFT((G129),LEN("พัสดุ"))=("พัสดุ")</formula>
    </cfRule>
  </conditionalFormatting>
  <dataValidations count="11">
    <dataValidation type="list" allowBlank="1" sqref="S17 S19:S20 S53 S71 S81 S92 S97 S100 S108:S110 S115:S117 S119:S120 S133:S134 S171 S174 S289 S302" xr:uid="{00000000-0002-0000-0200-000000000000}">
      <formula1>"ยังไม่่ส่งไฟล์ ที่ใช้ในการประชุม,พร้อม"</formula1>
    </dataValidation>
    <dataValidation type="list" allowBlank="1" sqref="C318:C319 C23:C24 C27:C29 C43:C48 C50:C61 O91 C173:C175 C177:C182 C184:C186 C216:C217 C219:C220 C223:C224 C270:C275 C278:C306 C308 C310:C311 C314:C316 C3:C21 C31:C41 C63:C78 C80:C106 C108:C123 C163:C171 C188:C213 C226:C268 C125:C161" xr:uid="{00000000-0002-0000-0200-000001000000}">
      <formula1>"กวก.ฯ,กอค.ฯ,กสน.ฯ,กรง.ฯ,กดก.ฯ,กปภ.ฯ,กฟฟ.ฯ,ชย.ทอ."</formula1>
    </dataValidation>
    <dataValidation type="list" allowBlank="1" sqref="N17 N19:N20 N53 N71 N81 N92 N97 N100 N108:N110 N115:N117 N119:N120 N133:N134 N171 N174 N289 N302" xr:uid="{00000000-0002-0000-0200-000002000000}">
      <formula1>"ไม่ผ่านการประชุมขากกองฯ,พร้อม"</formula1>
    </dataValidation>
    <dataValidation type="list" allowBlank="1" sqref="A67 A297 A300:A302" xr:uid="{00000000-0002-0000-0200-000003000000}">
      <formula1>"รอการขอยกเลิกคุณลักษณะ,รอเข้าพิจารณา คุณลักษณะฯ,อยู่ระหว่างการพิจารณา คุณลักษณะฯ,ผ่านการพิจารณา รอ จก.ชย.ทอ.ลงนาม,รอเข้าพิจารณา คำแนะนำฯ,อยู่ระหว่างการพิจารณา คำแนะนำฯ,ผ่านการพิจารณาคำแนะนำ รอ จก.ชย.ทอ.ลงนาม.,เอกสารไม่พร้อมเข้าประชุม"</formula1>
    </dataValidation>
    <dataValidation type="list" allowBlank="1" sqref="R17 R19:R20 R53 R71 R81 R92 R97 R100 R108:R110 R115:R117 R119:R120 R133:R134 R171 R174 R289 R302" xr:uid="{00000000-0002-0000-0200-000004000000}">
      <formula1>"ยังไม่ถ่ายสำเนาให้กรรมการ 12 ชุด,พร้อม"</formula1>
    </dataValidation>
    <dataValidation type="list" allowBlank="1" sqref="O17 O19:O20 O53 O71 O81 O92 O97 O100 O108:O110 O115:O117 O119:O120 O133:O134 O171 O174 O289 O302" xr:uid="{00000000-0002-0000-0200-000005000000}">
      <formula1>"เอกสารคู่เทียบไม่พร้อม,พร้อม"</formula1>
    </dataValidation>
    <dataValidation type="list" allowBlank="1" sqref="A23 A27:A29 A43:A48 A50:A61 A63:A66 A108:A123 A173:A175 A177:A182 A184:A186 A216:A217 A219:A220 A223:A224 A270:A275 A278:A289 A291:A296 A298:A299 A303:A306 A308:A311 A314:A316 A318:A319 A321:A414 A3:A21 A31:A41 A68:A78 A81:A106 A163:A171 A188:A213 A226:A268 A125:A161" xr:uid="{00000000-0002-0000-0200-000006000000}">
      <formula1>"รอการขอยกเลิกคุณลักษณะ,รอเข้าพิจารณา คุณลักษณะฯ,อยู่ระหว่างการพิจารณา คุณลักษณะฯ,ผ่านการพิจารณา รอ จก.ชย.ทอ.ลงนาม,รอเข้าพิจารณา คำแนะนำฯ,อยู่ระหว่างการพิจารณา คำแนะนำฯ,ผ่านการพิจารณาคำแนะนำ รอ จก.ชย.ทอ.ลงนาม"</formula1>
    </dataValidation>
    <dataValidation type="list" allowBlank="1" sqref="P17 P19:P20 P53 P71 P81 P92 P97 P100 P108:P110 P115:P117 P119:P120 P133:P134 P171 P174 P289 P302" xr:uid="{00000000-0002-0000-0200-000007000000}">
      <formula1>"ตารางเปรียบเทียบคุณสมบัติ,พร้อม"</formula1>
    </dataValidation>
    <dataValidation type="list" allowBlank="1" sqref="A24" xr:uid="{00000000-0002-0000-0200-000008000000}">
      <formula1>"รอเข้าพิจารณา คุณลักษณะฯ,รอเข้าพิจารณา คำแนะนำฯ,อยู่ระหว่างการพิจารณา คุณลักษณะฯ,อยู่ระหว่างการพิจารณา คำแนะนำฯ,รอการขอยกเลิกคุณลักษณะ"</formula1>
    </dataValidation>
    <dataValidation type="list" allowBlank="1" sqref="Q17 Q19:Q20 Q53 Q71 Q81 Q92 Q97 Q100 Q108:Q110 Q115:Q117 Q119:Q120 Q133:Q134 Q171 Q174 Q289 Q302" xr:uid="{00000000-0002-0000-0200-000009000000}">
      <formula1>"ยังไม่ส่งราคาของแต่ละยี่ห้อ,พร้อม"</formula1>
    </dataValidation>
    <dataValidation type="list" allowBlank="1" sqref="A290" xr:uid="{00000000-0002-0000-0200-00000A000000}">
      <formula1>"รอการขอยกเลิกคุณลักษณะ,รอเข้าพิจารณา คุณลักษณะฯ,อยู่ระหว่างการพิจารณา คุณลักษณะฯ,ผ่านการพิจารณา รอ จก.ชย.ทอ.ลงนาม,รอเข้าพิจารณา คำแนะนำฯ,อยู่ระหว่างการพิจารณา คำแนะนำฯ,ผ่านการพิจารณาคำแนะนำ รอ จก.ชย.ทอ.ลงนาม.,เอกสารไม่พร้อมเข้าพิจารณา"</formula1>
    </dataValidation>
  </dataValidations>
  <printOptions horizontalCentered="1" gridLines="1"/>
  <pageMargins left="0.35433070866141736" right="0.35433070866141736" top="0.23622047244094491" bottom="0.31496062992125984" header="0" footer="0"/>
  <pageSetup paperSize="9" scale="17" fitToHeight="0" pageOrder="overThenDown" orientation="portrait" cellComments="atEnd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8E7CC3"/>
    <outlinePr summaryBelow="0" summaryRight="0"/>
  </sheetPr>
  <dimension ref="A1:Z2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4.42578125" defaultRowHeight="15.75" customHeight="1"/>
  <cols>
    <col min="1" max="1" width="23.85546875" customWidth="1"/>
    <col min="2" max="2" width="17.42578125" customWidth="1"/>
    <col min="3" max="26" width="12.42578125" customWidth="1"/>
  </cols>
  <sheetData>
    <row r="1" spans="1:26" ht="18.75">
      <c r="A1" s="536" t="s">
        <v>3804</v>
      </c>
      <c r="B1" s="499"/>
      <c r="C1" s="311"/>
      <c r="D1" s="312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</row>
    <row r="2" spans="1:26" ht="15.75" customHeight="1">
      <c r="A2" s="280" t="s">
        <v>3156</v>
      </c>
      <c r="B2" s="280" t="s">
        <v>3158</v>
      </c>
      <c r="C2" s="313"/>
      <c r="D2" s="277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</row>
    <row r="3" spans="1:26" ht="18.75">
      <c r="A3" s="24" t="s">
        <v>3577</v>
      </c>
      <c r="B3" s="121">
        <f t="shared" ref="B3:B14" si="0">SUM(C3:Z3)</f>
        <v>0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1:26" ht="18.75">
      <c r="A4" s="24" t="s">
        <v>3177</v>
      </c>
      <c r="B4" s="121">
        <f t="shared" si="0"/>
        <v>0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</row>
    <row r="5" spans="1:26" ht="18.75">
      <c r="A5" s="24" t="s">
        <v>3192</v>
      </c>
      <c r="B5" s="121">
        <f t="shared" si="0"/>
        <v>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8.75">
      <c r="A6" s="24" t="s">
        <v>3182</v>
      </c>
      <c r="B6" s="121">
        <f t="shared" si="0"/>
        <v>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8.75">
      <c r="A7" s="24" t="s">
        <v>3187</v>
      </c>
      <c r="B7" s="121">
        <f t="shared" si="0"/>
        <v>0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8.75">
      <c r="A8" s="24" t="s">
        <v>3196</v>
      </c>
      <c r="B8" s="121">
        <f t="shared" si="0"/>
        <v>0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8.75">
      <c r="A9" s="24" t="s">
        <v>3199</v>
      </c>
      <c r="B9" s="121">
        <f t="shared" si="0"/>
        <v>0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</row>
    <row r="10" spans="1:26" ht="18.75">
      <c r="A10" s="24" t="s">
        <v>3204</v>
      </c>
      <c r="B10" s="121">
        <f t="shared" si="0"/>
        <v>0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</row>
    <row r="11" spans="1:26" ht="18.75">
      <c r="A11" s="24" t="s">
        <v>3207</v>
      </c>
      <c r="B11" s="121">
        <f t="shared" si="0"/>
        <v>0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</row>
    <row r="12" spans="1:26" ht="18.75">
      <c r="A12" s="24" t="s">
        <v>3210</v>
      </c>
      <c r="B12" s="121">
        <f t="shared" si="0"/>
        <v>0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</row>
    <row r="13" spans="1:26" ht="18.75">
      <c r="A13" s="24" t="s">
        <v>3213</v>
      </c>
      <c r="B13" s="121">
        <f t="shared" si="0"/>
        <v>0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</row>
    <row r="14" spans="1:26" ht="18.75">
      <c r="A14" s="24" t="s">
        <v>3216</v>
      </c>
      <c r="B14" s="121">
        <f t="shared" si="0"/>
        <v>0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</row>
    <row r="15" spans="1:26" ht="18.75">
      <c r="A15" s="277" t="s">
        <v>3254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</row>
    <row r="16" spans="1:26" ht="18.75">
      <c r="A16" s="24"/>
      <c r="B16" s="121">
        <f t="shared" ref="B16:B22" si="1">COUNTA(C16:Z16)</f>
        <v>0</v>
      </c>
      <c r="C16" s="283"/>
      <c r="D16" s="283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</row>
    <row r="17" spans="1:26" ht="18.75">
      <c r="A17" s="24"/>
      <c r="B17" s="121">
        <f t="shared" si="1"/>
        <v>0</v>
      </c>
      <c r="C17" s="283"/>
      <c r="D17" s="283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18.75">
      <c r="A18" s="24"/>
      <c r="B18" s="121">
        <f t="shared" si="1"/>
        <v>0</v>
      </c>
      <c r="C18" s="283"/>
      <c r="D18" s="283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8.75">
      <c r="A19" s="24"/>
      <c r="B19" s="121">
        <f t="shared" si="1"/>
        <v>0</v>
      </c>
      <c r="C19" s="283"/>
      <c r="D19" s="283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8.75">
      <c r="A20" s="24"/>
      <c r="B20" s="121">
        <f t="shared" si="1"/>
        <v>0</v>
      </c>
      <c r="C20" s="283"/>
      <c r="D20" s="283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8.75">
      <c r="A21" s="24"/>
      <c r="B21" s="121">
        <f t="shared" si="1"/>
        <v>0</v>
      </c>
      <c r="C21" s="283"/>
      <c r="D21" s="283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8.75">
      <c r="A22" s="24"/>
      <c r="B22" s="121">
        <f t="shared" si="1"/>
        <v>0</v>
      </c>
      <c r="C22" s="283"/>
      <c r="D22" s="283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</row>
  </sheetData>
  <mergeCells count="1">
    <mergeCell ref="A1:B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8E7CC3"/>
    <outlinePr summaryBelow="0" summaryRight="0"/>
  </sheetPr>
  <dimension ref="A1:Z2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4.42578125" defaultRowHeight="15.75" customHeight="1"/>
  <cols>
    <col min="1" max="1" width="23.85546875" customWidth="1"/>
    <col min="2" max="2" width="17.42578125" customWidth="1"/>
    <col min="3" max="26" width="12.42578125" customWidth="1"/>
  </cols>
  <sheetData>
    <row r="1" spans="1:26" ht="18.75">
      <c r="A1" s="536" t="s">
        <v>3804</v>
      </c>
      <c r="B1" s="499"/>
      <c r="C1" s="311"/>
      <c r="D1" s="312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</row>
    <row r="2" spans="1:26" ht="15.75" customHeight="1">
      <c r="A2" s="280" t="s">
        <v>3156</v>
      </c>
      <c r="B2" s="280" t="s">
        <v>3158</v>
      </c>
      <c r="C2" s="313"/>
      <c r="D2" s="277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</row>
    <row r="3" spans="1:26" ht="18.75">
      <c r="A3" s="24" t="s">
        <v>3577</v>
      </c>
      <c r="B3" s="121">
        <f t="shared" ref="B3:B14" si="0">SUM(C3:Z3)</f>
        <v>0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1:26" ht="18.75">
      <c r="A4" s="24" t="s">
        <v>3177</v>
      </c>
      <c r="B4" s="121">
        <f t="shared" si="0"/>
        <v>0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</row>
    <row r="5" spans="1:26" ht="18.75">
      <c r="A5" s="24" t="s">
        <v>3192</v>
      </c>
      <c r="B5" s="121">
        <f t="shared" si="0"/>
        <v>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8.75">
      <c r="A6" s="24" t="s">
        <v>3182</v>
      </c>
      <c r="B6" s="121">
        <f t="shared" si="0"/>
        <v>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8.75">
      <c r="A7" s="24" t="s">
        <v>3187</v>
      </c>
      <c r="B7" s="121">
        <f t="shared" si="0"/>
        <v>0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8.75">
      <c r="A8" s="24" t="s">
        <v>3196</v>
      </c>
      <c r="B8" s="121">
        <f t="shared" si="0"/>
        <v>0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8.75">
      <c r="A9" s="24" t="s">
        <v>3199</v>
      </c>
      <c r="B9" s="121">
        <f t="shared" si="0"/>
        <v>0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</row>
    <row r="10" spans="1:26" ht="18.75">
      <c r="A10" s="24" t="s">
        <v>3204</v>
      </c>
      <c r="B10" s="121">
        <f t="shared" si="0"/>
        <v>0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</row>
    <row r="11" spans="1:26" ht="18.75">
      <c r="A11" s="24" t="s">
        <v>3207</v>
      </c>
      <c r="B11" s="121">
        <f t="shared" si="0"/>
        <v>0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</row>
    <row r="12" spans="1:26" ht="18.75">
      <c r="A12" s="24" t="s">
        <v>3210</v>
      </c>
      <c r="B12" s="121">
        <f t="shared" si="0"/>
        <v>0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</row>
    <row r="13" spans="1:26" ht="18.75">
      <c r="A13" s="24" t="s">
        <v>3213</v>
      </c>
      <c r="B13" s="121">
        <f t="shared" si="0"/>
        <v>0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</row>
    <row r="14" spans="1:26" ht="18.75">
      <c r="A14" s="24" t="s">
        <v>3216</v>
      </c>
      <c r="B14" s="121">
        <f t="shared" si="0"/>
        <v>0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</row>
    <row r="15" spans="1:26" ht="18.75">
      <c r="A15" s="277" t="s">
        <v>3254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</row>
    <row r="16" spans="1:26" ht="18.75">
      <c r="A16" s="24"/>
      <c r="B16" s="121">
        <f t="shared" ref="B16:B22" si="1">COUNTA(C16:Z16)</f>
        <v>0</v>
      </c>
      <c r="C16" s="283"/>
      <c r="D16" s="283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</row>
    <row r="17" spans="1:26" ht="18.75">
      <c r="A17" s="24"/>
      <c r="B17" s="121">
        <f t="shared" si="1"/>
        <v>0</v>
      </c>
      <c r="C17" s="283"/>
      <c r="D17" s="283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18.75">
      <c r="A18" s="24"/>
      <c r="B18" s="121">
        <f t="shared" si="1"/>
        <v>0</v>
      </c>
      <c r="C18" s="283"/>
      <c r="D18" s="283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8.75">
      <c r="A19" s="24"/>
      <c r="B19" s="121">
        <f t="shared" si="1"/>
        <v>0</v>
      </c>
      <c r="C19" s="283"/>
      <c r="D19" s="283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8.75">
      <c r="A20" s="24"/>
      <c r="B20" s="121">
        <f t="shared" si="1"/>
        <v>0</v>
      </c>
      <c r="C20" s="283"/>
      <c r="D20" s="283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8.75">
      <c r="A21" s="24"/>
      <c r="B21" s="121">
        <f t="shared" si="1"/>
        <v>0</v>
      </c>
      <c r="C21" s="283"/>
      <c r="D21" s="283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8.75">
      <c r="A22" s="24"/>
      <c r="B22" s="121">
        <f t="shared" si="1"/>
        <v>0</v>
      </c>
      <c r="C22" s="283"/>
      <c r="D22" s="283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</row>
  </sheetData>
  <mergeCells count="1">
    <mergeCell ref="A1:B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outlinePr summaryBelow="0" summaryRight="0"/>
  </sheetPr>
  <dimension ref="A1:C196"/>
  <sheetViews>
    <sheetView workbookViewId="0"/>
  </sheetViews>
  <sheetFormatPr defaultColWidth="14.42578125" defaultRowHeight="15.75" customHeight="1"/>
  <cols>
    <col min="1" max="1" width="9.85546875" customWidth="1"/>
    <col min="2" max="2" width="30" customWidth="1"/>
    <col min="3" max="3" width="27.5703125" customWidth="1"/>
  </cols>
  <sheetData>
    <row r="1" spans="1:3" ht="15.75" customHeight="1">
      <c r="A1" s="314" t="str">
        <f ca="1">IFERROR(__xludf.DUMMYFUNCTION("IMPORTRANGE(""1uoQPEH7Us97lfKk9Et0C-B7FO5Gwo5zWe6ViGbODPGg"",""แผ่น1!A1:c300"")"),"ยศ")</f>
        <v>ยศ</v>
      </c>
      <c r="B1" t="str">
        <f ca="1">IFERROR(__xludf.DUMMYFUNCTION("""COMPUTED_VALUE"""),"ชื่อ-สกุล")</f>
        <v>ชื่อ-สกุล</v>
      </c>
      <c r="C1" t="str">
        <f ca="1">IFERROR(__xludf.DUMMYFUNCTION("""COMPUTED_VALUE"""),"รวม(ยศ ชื่อ-สกุล)")</f>
        <v>รวม(ยศ ชื่อ-สกุล)</v>
      </c>
    </row>
    <row r="2" spans="1:3" ht="12.75">
      <c r="A2" t="str">
        <f ca="1">IFERROR(__xludf.DUMMYFUNCTION("""COMPUTED_VALUE"""),"น.อ.(พ)")</f>
        <v>น.อ.(พ)</v>
      </c>
      <c r="B2" t="str">
        <f ca="1">IFERROR(__xludf.DUMMYFUNCTION("""COMPUTED_VALUE"""),"เรวัต ทัตติยพงศ์")</f>
        <v>เรวัต ทัตติยพงศ์</v>
      </c>
      <c r="C2" t="str">
        <f ca="1">IFERROR(__xludf.DUMMYFUNCTION("""COMPUTED_VALUE"""),"น.อ.(พ) เรวัต ทัตติยพงศ์")</f>
        <v>น.อ.(พ) เรวัต ทัตติยพงศ์</v>
      </c>
    </row>
    <row r="3" spans="1:3" ht="12.75">
      <c r="A3" t="str">
        <f ca="1">IFERROR(__xludf.DUMMYFUNCTION("""COMPUTED_VALUE"""),"น.อ.")</f>
        <v>น.อ.</v>
      </c>
      <c r="B3" t="str">
        <f ca="1">IFERROR(__xludf.DUMMYFUNCTION("""COMPUTED_VALUE"""),"ฐากร  อุ่นญาติ")</f>
        <v>ฐากร  อุ่นญาติ</v>
      </c>
      <c r="C3" t="str">
        <f ca="1">IFERROR(__xludf.DUMMYFUNCTION("""COMPUTED_VALUE"""),"น.อ. ฐากร  อุ่นญาติ")</f>
        <v>น.อ. ฐากร  อุ่นญาติ</v>
      </c>
    </row>
    <row r="4" spans="1:3" ht="12.75">
      <c r="A4" t="str">
        <f ca="1">IFERROR(__xludf.DUMMYFUNCTION("""COMPUTED_VALUE"""),"น.อ.")</f>
        <v>น.อ.</v>
      </c>
      <c r="B4" t="str">
        <f ca="1">IFERROR(__xludf.DUMMYFUNCTION("""COMPUTED_VALUE"""),"นาวี แก้วหลวง")</f>
        <v>นาวี แก้วหลวง</v>
      </c>
      <c r="C4" t="str">
        <f ca="1">IFERROR(__xludf.DUMMYFUNCTION("""COMPUTED_VALUE"""),"น.อ. นาวี แก้วหลวง")</f>
        <v>น.อ. นาวี แก้วหลวง</v>
      </c>
    </row>
    <row r="5" spans="1:3" ht="12.75">
      <c r="A5" t="str">
        <f ca="1">IFERROR(__xludf.DUMMYFUNCTION("""COMPUTED_VALUE"""),"น.อ.")</f>
        <v>น.อ.</v>
      </c>
      <c r="B5" t="str">
        <f ca="1">IFERROR(__xludf.DUMMYFUNCTION("""COMPUTED_VALUE"""),"ประเดิมชัย  พลวัน")</f>
        <v>ประเดิมชัย  พลวัน</v>
      </c>
      <c r="C5" t="str">
        <f ca="1">IFERROR(__xludf.DUMMYFUNCTION("""COMPUTED_VALUE"""),"น.อ. ประเดิมชัย  พลวัน")</f>
        <v>น.อ. ประเดิมชัย  พลวัน</v>
      </c>
    </row>
    <row r="6" spans="1:3" ht="12.75">
      <c r="A6" t="str">
        <f ca="1">IFERROR(__xludf.DUMMYFUNCTION("""COMPUTED_VALUE"""),"น.อ.")</f>
        <v>น.อ.</v>
      </c>
      <c r="B6" t="str">
        <f ca="1">IFERROR(__xludf.DUMMYFUNCTION("""COMPUTED_VALUE"""),"วรบุตร  รพิพันธุ์")</f>
        <v>วรบุตร  รพิพันธุ์</v>
      </c>
      <c r="C6" t="str">
        <f ca="1">IFERROR(__xludf.DUMMYFUNCTION("""COMPUTED_VALUE"""),"น.อ. วรบุตร  รพิพันธุ์")</f>
        <v>น.อ. วรบุตร  รพิพันธุ์</v>
      </c>
    </row>
    <row r="7" spans="1:3" ht="12.75">
      <c r="A7" t="str">
        <f ca="1">IFERROR(__xludf.DUMMYFUNCTION("""COMPUTED_VALUE"""),"น.อ.")</f>
        <v>น.อ.</v>
      </c>
      <c r="B7" t="str">
        <f ca="1">IFERROR(__xludf.DUMMYFUNCTION("""COMPUTED_VALUE"""),"เศรษฐชัย ศรีทอง")</f>
        <v>เศรษฐชัย ศรีทอง</v>
      </c>
      <c r="C7" t="str">
        <f ca="1">IFERROR(__xludf.DUMMYFUNCTION("""COMPUTED_VALUE"""),"น.อ. เศรษฐชัย ศรีทอง")</f>
        <v>น.อ. เศรษฐชัย ศรีทอง</v>
      </c>
    </row>
    <row r="8" spans="1:3" ht="12.75">
      <c r="A8" t="str">
        <f ca="1">IFERROR(__xludf.DUMMYFUNCTION("""COMPUTED_VALUE"""),"น.อ.")</f>
        <v>น.อ.</v>
      </c>
      <c r="B8" t="str">
        <f ca="1">IFERROR(__xludf.DUMMYFUNCTION("""COMPUTED_VALUE"""),"อนุสิษฐ์ สุรันนา")</f>
        <v>อนุสิษฐ์ สุรันนา</v>
      </c>
      <c r="C8" t="str">
        <f ca="1">IFERROR(__xludf.DUMMYFUNCTION("""COMPUTED_VALUE"""),"น.อ. อนุสิษฐ์ สุรันนา")</f>
        <v>น.อ. อนุสิษฐ์ สุรันนา</v>
      </c>
    </row>
    <row r="9" spans="1:3" ht="12.75">
      <c r="A9" t="str">
        <f ca="1">IFERROR(__xludf.DUMMYFUNCTION("""COMPUTED_VALUE"""),"น.ท.")</f>
        <v>น.ท.</v>
      </c>
      <c r="B9" t="str">
        <f ca="1">IFERROR(__xludf.DUMMYFUNCTION("""COMPUTED_VALUE"""),"ก้อง กระดังงา")</f>
        <v>ก้อง กระดังงา</v>
      </c>
      <c r="C9" t="str">
        <f ca="1">IFERROR(__xludf.DUMMYFUNCTION("""COMPUTED_VALUE"""),"น.ท. ก้อง กระดังงา")</f>
        <v>น.ท. ก้อง กระดังงา</v>
      </c>
    </row>
    <row r="10" spans="1:3" ht="12.75">
      <c r="A10" t="str">
        <f ca="1">IFERROR(__xludf.DUMMYFUNCTION("""COMPUTED_VALUE"""),"น.ท.")</f>
        <v>น.ท.</v>
      </c>
      <c r="B10" t="str">
        <f ca="1">IFERROR(__xludf.DUMMYFUNCTION("""COMPUTED_VALUE"""),"ไชยยันต์ ควรบำรุง")</f>
        <v>ไชยยันต์ ควรบำรุง</v>
      </c>
      <c r="C10" t="str">
        <f ca="1">IFERROR(__xludf.DUMMYFUNCTION("""COMPUTED_VALUE"""),"น.ท. ไชยยันต์ ควรบำรุง")</f>
        <v>น.ท. ไชยยันต์ ควรบำรุง</v>
      </c>
    </row>
    <row r="11" spans="1:3" ht="12.75">
      <c r="A11" t="str">
        <f ca="1">IFERROR(__xludf.DUMMYFUNCTION("""COMPUTED_VALUE"""),"น.ท.")</f>
        <v>น.ท.</v>
      </c>
      <c r="B11" t="str">
        <f ca="1">IFERROR(__xludf.DUMMYFUNCTION("""COMPUTED_VALUE"""),"ธงชัย วุฒวรรณ")</f>
        <v>ธงชัย วุฒวรรณ</v>
      </c>
      <c r="C11" t="str">
        <f ca="1">IFERROR(__xludf.DUMMYFUNCTION("""COMPUTED_VALUE"""),"น.ท. ธงชัย วุฒวรรณ")</f>
        <v>น.ท. ธงชัย วุฒวรรณ</v>
      </c>
    </row>
    <row r="12" spans="1:3" ht="12.75">
      <c r="A12" t="str">
        <f ca="1">IFERROR(__xludf.DUMMYFUNCTION("""COMPUTED_VALUE"""),"น.ท.")</f>
        <v>น.ท.</v>
      </c>
      <c r="B12" t="str">
        <f ca="1">IFERROR(__xludf.DUMMYFUNCTION("""COMPUTED_VALUE"""),"ธนพล ณ ถลาง")</f>
        <v>ธนพล ณ ถลาง</v>
      </c>
      <c r="C12" t="str">
        <f ca="1">IFERROR(__xludf.DUMMYFUNCTION("""COMPUTED_VALUE"""),"น.ท. ธนพล ณ ถลาง")</f>
        <v>น.ท. ธนพล ณ ถลาง</v>
      </c>
    </row>
    <row r="13" spans="1:3" ht="12.75">
      <c r="A13" t="str">
        <f ca="1">IFERROR(__xludf.DUMMYFUNCTION("""COMPUTED_VALUE"""),"น.ท.")</f>
        <v>น.ท.</v>
      </c>
      <c r="B13" t="str">
        <f ca="1">IFERROR(__xludf.DUMMYFUNCTION("""COMPUTED_VALUE"""),"นิธิวัฒน์ โต๊ะนาค")</f>
        <v>นิธิวัฒน์ โต๊ะนาค</v>
      </c>
      <c r="C13" t="str">
        <f ca="1">IFERROR(__xludf.DUMMYFUNCTION("""COMPUTED_VALUE"""),"น.ท. นิธิวัฒน์ โต๊ะนาค")</f>
        <v>น.ท. นิธิวัฒน์ โต๊ะนาค</v>
      </c>
    </row>
    <row r="14" spans="1:3" ht="12.75">
      <c r="A14" t="str">
        <f ca="1">IFERROR(__xludf.DUMMYFUNCTION("""COMPUTED_VALUE"""),"น.ท.")</f>
        <v>น.ท.</v>
      </c>
      <c r="B14" t="str">
        <f ca="1">IFERROR(__xludf.DUMMYFUNCTION("""COMPUTED_VALUE"""),"บรรพต ลัทธคุณ")</f>
        <v>บรรพต ลัทธคุณ</v>
      </c>
      <c r="C14" t="str">
        <f ca="1">IFERROR(__xludf.DUMMYFUNCTION("""COMPUTED_VALUE"""),"น.ท. บรรพต ลัทธคุณ")</f>
        <v>น.ท. บรรพต ลัทธคุณ</v>
      </c>
    </row>
    <row r="15" spans="1:3" ht="12.75">
      <c r="A15" t="str">
        <f ca="1">IFERROR(__xludf.DUMMYFUNCTION("""COMPUTED_VALUE"""),"น.ท.")</f>
        <v>น.ท.</v>
      </c>
      <c r="B15" t="str">
        <f ca="1">IFERROR(__xludf.DUMMYFUNCTION("""COMPUTED_VALUE"""),"ปฏิพัทธ์ ชุ่มปลั่ง")</f>
        <v>ปฏิพัทธ์ ชุ่มปลั่ง</v>
      </c>
      <c r="C15" t="str">
        <f ca="1">IFERROR(__xludf.DUMMYFUNCTION("""COMPUTED_VALUE"""),"น.ท. ปฏิพัทธ์ ชุ่มปลั่ง")</f>
        <v>น.ท. ปฏิพัทธ์ ชุ่มปลั่ง</v>
      </c>
    </row>
    <row r="16" spans="1:3" ht="12.75">
      <c r="A16" t="str">
        <f ca="1">IFERROR(__xludf.DUMMYFUNCTION("""COMPUTED_VALUE"""),"น.ท.")</f>
        <v>น.ท.</v>
      </c>
      <c r="B16" t="str">
        <f ca="1">IFERROR(__xludf.DUMMYFUNCTION("""COMPUTED_VALUE"""),"มณี อรรถฉัตร")</f>
        <v>มณี อรรถฉัตร</v>
      </c>
      <c r="C16" t="str">
        <f ca="1">IFERROR(__xludf.DUMMYFUNCTION("""COMPUTED_VALUE"""),"น.ท. มณี อรรถฉัตร")</f>
        <v>น.ท. มณี อรรถฉัตร</v>
      </c>
    </row>
    <row r="17" spans="1:3" ht="12.75">
      <c r="A17" t="str">
        <f ca="1">IFERROR(__xludf.DUMMYFUNCTION("""COMPUTED_VALUE"""),"น.ท.")</f>
        <v>น.ท.</v>
      </c>
      <c r="B17" t="str">
        <f ca="1">IFERROR(__xludf.DUMMYFUNCTION("""COMPUTED_VALUE"""),"วชิระศักดิ์ ร่มลำดวน")</f>
        <v>วชิระศักดิ์ ร่มลำดวน</v>
      </c>
      <c r="C17" t="str">
        <f ca="1">IFERROR(__xludf.DUMMYFUNCTION("""COMPUTED_VALUE"""),"น.ท. วชิระศักดิ์ ร่มลำดวน")</f>
        <v>น.ท. วชิระศักดิ์ ร่มลำดวน</v>
      </c>
    </row>
    <row r="18" spans="1:3" ht="12.75">
      <c r="A18" t="str">
        <f ca="1">IFERROR(__xludf.DUMMYFUNCTION("""COMPUTED_VALUE"""),"น.ท.")</f>
        <v>น.ท.</v>
      </c>
      <c r="B18" t="str">
        <f ca="1">IFERROR(__xludf.DUMMYFUNCTION("""COMPUTED_VALUE"""),"สายัณห์ แต้มคุณ")</f>
        <v>สายัณห์ แต้มคุณ</v>
      </c>
      <c r="C18" t="str">
        <f ca="1">IFERROR(__xludf.DUMMYFUNCTION("""COMPUTED_VALUE"""),"น.ท. สายัณห์ แต้มคุณ")</f>
        <v>น.ท. สายัณห์ แต้มคุณ</v>
      </c>
    </row>
    <row r="19" spans="1:3" ht="12.75">
      <c r="A19" t="str">
        <f ca="1">IFERROR(__xludf.DUMMYFUNCTION("""COMPUTED_VALUE"""),"น.ต.")</f>
        <v>น.ต.</v>
      </c>
      <c r="B19" t="str">
        <f ca="1">IFERROR(__xludf.DUMMYFUNCTION("""COMPUTED_VALUE"""),"คมกริช บินไธสง")</f>
        <v>คมกริช บินไธสง</v>
      </c>
      <c r="C19" t="str">
        <f ca="1">IFERROR(__xludf.DUMMYFUNCTION("""COMPUTED_VALUE"""),"น.ต. คมกริช บินไธสง")</f>
        <v>น.ต. คมกริช บินไธสง</v>
      </c>
    </row>
    <row r="20" spans="1:3" ht="12.75">
      <c r="A20" t="str">
        <f ca="1">IFERROR(__xludf.DUMMYFUNCTION("""COMPUTED_VALUE"""),"น.ต.")</f>
        <v>น.ต.</v>
      </c>
      <c r="B20" t="str">
        <f ca="1">IFERROR(__xludf.DUMMYFUNCTION("""COMPUTED_VALUE"""),"ณัฏฐ์ วงศ์สิริผ่องแผ้ว")</f>
        <v>ณัฏฐ์ วงศ์สิริผ่องแผ้ว</v>
      </c>
      <c r="C20" t="str">
        <f ca="1">IFERROR(__xludf.DUMMYFUNCTION("""COMPUTED_VALUE"""),"น.ต. ณัฏฐ์ วงศ์สิริผ่องแผ้ว")</f>
        <v>น.ต. ณัฏฐ์ วงศ์สิริผ่องแผ้ว</v>
      </c>
    </row>
    <row r="21" spans="1:3" ht="12.75">
      <c r="A21" t="str">
        <f ca="1">IFERROR(__xludf.DUMMYFUNCTION("""COMPUTED_VALUE"""),"น.ต.หญิง")</f>
        <v>น.ต.หญิง</v>
      </c>
      <c r="B21" t="str">
        <f ca="1">IFERROR(__xludf.DUMMYFUNCTION("""COMPUTED_VALUE"""),"ณัฏฐา บริสุทธิ์")</f>
        <v>ณัฏฐา บริสุทธิ์</v>
      </c>
      <c r="C21" t="str">
        <f ca="1">IFERROR(__xludf.DUMMYFUNCTION("""COMPUTED_VALUE"""),"น.ต.หญิง ณัฏฐา บริสุทธิ์")</f>
        <v>น.ต.หญิง ณัฏฐา บริสุทธิ์</v>
      </c>
    </row>
    <row r="22" spans="1:3" ht="12.75">
      <c r="A22" t="str">
        <f ca="1">IFERROR(__xludf.DUMMYFUNCTION("""COMPUTED_VALUE"""),"น.ต.")</f>
        <v>น.ต.</v>
      </c>
      <c r="B22" t="str">
        <f ca="1">IFERROR(__xludf.DUMMYFUNCTION("""COMPUTED_VALUE"""),"ทวีทรัพย์ สัญจรดี")</f>
        <v>ทวีทรัพย์ สัญจรดี</v>
      </c>
      <c r="C22" t="str">
        <f ca="1">IFERROR(__xludf.DUMMYFUNCTION("""COMPUTED_VALUE"""),"น.ต. ทวีทรัพย์ สัญจรดี")</f>
        <v>น.ต. ทวีทรัพย์ สัญจรดี</v>
      </c>
    </row>
    <row r="23" spans="1:3" ht="12.75">
      <c r="A23" t="str">
        <f ca="1">IFERROR(__xludf.DUMMYFUNCTION("""COMPUTED_VALUE"""),"น.ต.")</f>
        <v>น.ต.</v>
      </c>
      <c r="B23" t="str">
        <f ca="1">IFERROR(__xludf.DUMMYFUNCTION("""COMPUTED_VALUE"""),"ธิติ ประจงการ")</f>
        <v>ธิติ ประจงการ</v>
      </c>
      <c r="C23" t="str">
        <f ca="1">IFERROR(__xludf.DUMMYFUNCTION("""COMPUTED_VALUE"""),"น.ต. ธิติ ประจงการ")</f>
        <v>น.ต. ธิติ ประจงการ</v>
      </c>
    </row>
    <row r="24" spans="1:3" ht="12.75">
      <c r="A24" t="str">
        <f ca="1">IFERROR(__xludf.DUMMYFUNCTION("""COMPUTED_VALUE"""),"น.ต.")</f>
        <v>น.ต.</v>
      </c>
      <c r="B24" t="str">
        <f ca="1">IFERROR(__xludf.DUMMYFUNCTION("""COMPUTED_VALUE"""),"บรรยง ว่องเกษกิจ")</f>
        <v>บรรยง ว่องเกษกิจ</v>
      </c>
      <c r="C24" t="str">
        <f ca="1">IFERROR(__xludf.DUMMYFUNCTION("""COMPUTED_VALUE"""),"น.ต. บรรยง ว่องเกษกิจ")</f>
        <v>น.ต. บรรยง ว่องเกษกิจ</v>
      </c>
    </row>
    <row r="25" spans="1:3" ht="12.75">
      <c r="A25" t="str">
        <f ca="1">IFERROR(__xludf.DUMMYFUNCTION("""COMPUTED_VALUE"""),"น.ต.หญิง")</f>
        <v>น.ต.หญิง</v>
      </c>
      <c r="B25" t="str">
        <f ca="1">IFERROR(__xludf.DUMMYFUNCTION("""COMPUTED_VALUE"""),"ปิ่นอนงค์ ปุณขันธ์ุ")</f>
        <v>ปิ่นอนงค์ ปุณขันธ์ุ</v>
      </c>
      <c r="C25" t="str">
        <f ca="1">IFERROR(__xludf.DUMMYFUNCTION("""COMPUTED_VALUE"""),"น.ต.หญิง ปิ่นอนงค์ ปุณขันธ์ุ")</f>
        <v>น.ต.หญิง ปิ่นอนงค์ ปุณขันธ์ุ</v>
      </c>
    </row>
    <row r="26" spans="1:3" ht="12.75">
      <c r="A26" t="str">
        <f ca="1">IFERROR(__xludf.DUMMYFUNCTION("""COMPUTED_VALUE"""),"น.ต.")</f>
        <v>น.ต.</v>
      </c>
      <c r="B26" t="str">
        <f ca="1">IFERROR(__xludf.DUMMYFUNCTION("""COMPUTED_VALUE"""),"ปิยะวุฒิ กล่ำอุไร")</f>
        <v>ปิยะวุฒิ กล่ำอุไร</v>
      </c>
      <c r="C26" t="str">
        <f ca="1">IFERROR(__xludf.DUMMYFUNCTION("""COMPUTED_VALUE"""),"น.ต. ปิยะวุฒิ กล่ำอุไร")</f>
        <v>น.ต. ปิยะวุฒิ กล่ำอุไร</v>
      </c>
    </row>
    <row r="27" spans="1:3" ht="12.75">
      <c r="A27" t="str">
        <f ca="1">IFERROR(__xludf.DUMMYFUNCTION("""COMPUTED_VALUE"""),"น.ต.หญิง")</f>
        <v>น.ต.หญิง</v>
      </c>
      <c r="B27" t="str">
        <f ca="1">IFERROR(__xludf.DUMMYFUNCTION("""COMPUTED_VALUE"""),"พัชนนท์ บำเริบ")</f>
        <v>พัชนนท์ บำเริบ</v>
      </c>
      <c r="C27" t="str">
        <f ca="1">IFERROR(__xludf.DUMMYFUNCTION("""COMPUTED_VALUE"""),"น.ต.หญิง พัชนนท์ บำเริบ")</f>
        <v>น.ต.หญิง พัชนนท์ บำเริบ</v>
      </c>
    </row>
    <row r="28" spans="1:3" ht="12.75">
      <c r="A28" t="str">
        <f ca="1">IFERROR(__xludf.DUMMYFUNCTION("""COMPUTED_VALUE"""),"น.ต.")</f>
        <v>น.ต.</v>
      </c>
      <c r="B28" t="str">
        <f ca="1">IFERROR(__xludf.DUMMYFUNCTION("""COMPUTED_VALUE"""),"พิทักพงษ์ ยิ้มนรินทร์")</f>
        <v>พิทักพงษ์ ยิ้มนรินทร์</v>
      </c>
      <c r="C28" t="str">
        <f ca="1">IFERROR(__xludf.DUMMYFUNCTION("""COMPUTED_VALUE"""),"น.ต. พิทักพงษ์ ยิ้มนรินทร์")</f>
        <v>น.ต. พิทักพงษ์ ยิ้มนรินทร์</v>
      </c>
    </row>
    <row r="29" spans="1:3" ht="12.75">
      <c r="A29" t="str">
        <f ca="1">IFERROR(__xludf.DUMMYFUNCTION("""COMPUTED_VALUE"""),"น.ต.")</f>
        <v>น.ต.</v>
      </c>
      <c r="B29" t="str">
        <f ca="1">IFERROR(__xludf.DUMMYFUNCTION("""COMPUTED_VALUE"""),"ยอดทนง แสงจรรยา")</f>
        <v>ยอดทนง แสงจรรยา</v>
      </c>
      <c r="C29" t="str">
        <f ca="1">IFERROR(__xludf.DUMMYFUNCTION("""COMPUTED_VALUE"""),"น.ต. ยอดทนง แสงจรรยา")</f>
        <v>น.ต. ยอดทนง แสงจรรยา</v>
      </c>
    </row>
    <row r="30" spans="1:3" ht="12.75">
      <c r="A30" t="str">
        <f ca="1">IFERROR(__xludf.DUMMYFUNCTION("""COMPUTED_VALUE"""),"น.ต.")</f>
        <v>น.ต.</v>
      </c>
      <c r="B30" t="str">
        <f ca="1">IFERROR(__xludf.DUMMYFUNCTION("""COMPUTED_VALUE"""),"อนุชา จาเกาะ")</f>
        <v>อนุชา จาเกาะ</v>
      </c>
      <c r="C30" t="str">
        <f ca="1">IFERROR(__xludf.DUMMYFUNCTION("""COMPUTED_VALUE"""),"น.ต. อนุชา จาเกาะ")</f>
        <v>น.ต. อนุชา จาเกาะ</v>
      </c>
    </row>
    <row r="31" spans="1:3" ht="12.75">
      <c r="A31" t="str">
        <f ca="1">IFERROR(__xludf.DUMMYFUNCTION("""COMPUTED_VALUE"""),"ร.อ.")</f>
        <v>ร.อ.</v>
      </c>
      <c r="B31" t="str">
        <f ca="1">IFERROR(__xludf.DUMMYFUNCTION("""COMPUTED_VALUE"""),"คเชนทร์ ปลอดทอง")</f>
        <v>คเชนทร์ ปลอดทอง</v>
      </c>
      <c r="C31" t="str">
        <f ca="1">IFERROR(__xludf.DUMMYFUNCTION("""COMPUTED_VALUE"""),"ร.อ. คเชนทร์ ปลอดทอง")</f>
        <v>ร.อ. คเชนทร์ ปลอดทอง</v>
      </c>
    </row>
    <row r="32" spans="1:3" ht="12.75">
      <c r="A32" t="str">
        <f ca="1">IFERROR(__xludf.DUMMYFUNCTION("""COMPUTED_VALUE"""),"ร.อ.หญิง")</f>
        <v>ร.อ.หญิง</v>
      </c>
      <c r="B32" t="str">
        <f ca="1">IFERROR(__xludf.DUMMYFUNCTION("""COMPUTED_VALUE"""),"ญาดา มิตรเจริญถาวร")</f>
        <v>ญาดา มิตรเจริญถาวร</v>
      </c>
      <c r="C32" t="str">
        <f ca="1">IFERROR(__xludf.DUMMYFUNCTION("""COMPUTED_VALUE"""),"ร.อ.หญิง ญาดา มิตรเจริญถาวร")</f>
        <v>ร.อ.หญิง ญาดา มิตรเจริญถาวร</v>
      </c>
    </row>
    <row r="33" spans="1:3" ht="12.75">
      <c r="A33" t="str">
        <f ca="1">IFERROR(__xludf.DUMMYFUNCTION("""COMPUTED_VALUE"""),"ร.อ.")</f>
        <v>ร.อ.</v>
      </c>
      <c r="B33" t="str">
        <f ca="1">IFERROR(__xludf.DUMMYFUNCTION("""COMPUTED_VALUE"""),"ฐานุพงศ์ ภัคศิริกุลวัฒน์")</f>
        <v>ฐานุพงศ์ ภัคศิริกุลวัฒน์</v>
      </c>
      <c r="C33" t="str">
        <f ca="1">IFERROR(__xludf.DUMMYFUNCTION("""COMPUTED_VALUE"""),"ร.อ. ฐานุพงศ์ ภัคศิริกุลวัฒน์")</f>
        <v>ร.อ. ฐานุพงศ์ ภัคศิริกุลวัฒน์</v>
      </c>
    </row>
    <row r="34" spans="1:3" ht="12.75">
      <c r="A34" t="str">
        <f ca="1">IFERROR(__xludf.DUMMYFUNCTION("""COMPUTED_VALUE"""),"ร.อ.")</f>
        <v>ร.อ.</v>
      </c>
      <c r="B34" t="str">
        <f ca="1">IFERROR(__xludf.DUMMYFUNCTION("""COMPUTED_VALUE"""),"ทัพไท กลับพิษ")</f>
        <v>ทัพไท กลับพิษ</v>
      </c>
      <c r="C34" t="str">
        <f ca="1">IFERROR(__xludf.DUMMYFUNCTION("""COMPUTED_VALUE"""),"ร.อ. ทัพไท กลับพิษ")</f>
        <v>ร.อ. ทัพไท กลับพิษ</v>
      </c>
    </row>
    <row r="35" spans="1:3" ht="12.75">
      <c r="A35" t="str">
        <f ca="1">IFERROR(__xludf.DUMMYFUNCTION("""COMPUTED_VALUE"""),"ร.อ.")</f>
        <v>ร.อ.</v>
      </c>
      <c r="B35" t="str">
        <f ca="1">IFERROR(__xludf.DUMMYFUNCTION("""COMPUTED_VALUE"""),"นนทรัฐ ระหงษ์")</f>
        <v>นนทรัฐ ระหงษ์</v>
      </c>
      <c r="C35" t="str">
        <f ca="1">IFERROR(__xludf.DUMMYFUNCTION("""COMPUTED_VALUE"""),"ร.อ. นนทรัฐ ระหงษ์")</f>
        <v>ร.อ. นนทรัฐ ระหงษ์</v>
      </c>
    </row>
    <row r="36" spans="1:3" ht="12.75">
      <c r="A36" t="str">
        <f ca="1">IFERROR(__xludf.DUMMYFUNCTION("""COMPUTED_VALUE"""),"ร.อ.หญิง")</f>
        <v>ร.อ.หญิง</v>
      </c>
      <c r="B36" t="str">
        <f ca="1">IFERROR(__xludf.DUMMYFUNCTION("""COMPUTED_VALUE"""),"รจน์ ลับไพรี")</f>
        <v>รจน์ ลับไพรี</v>
      </c>
      <c r="C36" t="str">
        <f ca="1">IFERROR(__xludf.DUMMYFUNCTION("""COMPUTED_VALUE"""),"ร.อ.หญิง รจน์ ลับไพรี")</f>
        <v>ร.อ.หญิง รจน์ ลับไพรี</v>
      </c>
    </row>
    <row r="37" spans="1:3" ht="12.75">
      <c r="A37" t="str">
        <f ca="1">IFERROR(__xludf.DUMMYFUNCTION("""COMPUTED_VALUE"""),"ร.อ.")</f>
        <v>ร.อ.</v>
      </c>
      <c r="B37" t="str">
        <f ca="1">IFERROR(__xludf.DUMMYFUNCTION("""COMPUTED_VALUE"""),"สิทธิชัย เล็กใบ")</f>
        <v>สิทธิชัย เล็กใบ</v>
      </c>
      <c r="C37" t="str">
        <f ca="1">IFERROR(__xludf.DUMMYFUNCTION("""COMPUTED_VALUE"""),"ร.อ. สิทธิชัย เล็กใบ")</f>
        <v>ร.อ. สิทธิชัย เล็กใบ</v>
      </c>
    </row>
    <row r="38" spans="1:3" ht="12.75">
      <c r="A38" t="str">
        <f ca="1">IFERROR(__xludf.DUMMYFUNCTION("""COMPUTED_VALUE"""),"ร.อ.หญิง")</f>
        <v>ร.อ.หญิง</v>
      </c>
      <c r="B38" t="str">
        <f ca="1">IFERROR(__xludf.DUMMYFUNCTION("""COMPUTED_VALUE"""),"อัญชลิดา กาญจนาธนเกียรติ")</f>
        <v>อัญชลิดา กาญจนาธนเกียรติ</v>
      </c>
      <c r="C38" t="str">
        <f ca="1">IFERROR(__xludf.DUMMYFUNCTION("""COMPUTED_VALUE"""),"ร.อ.หญิง อัญชลิดา กาญจนาธนเกียรติ")</f>
        <v>ร.อ.หญิง อัญชลิดา กาญจนาธนเกียรติ</v>
      </c>
    </row>
    <row r="39" spans="1:3" ht="12.75">
      <c r="A39" t="str">
        <f ca="1">IFERROR(__xludf.DUMMYFUNCTION("""COMPUTED_VALUE"""),"ร.อ.")</f>
        <v>ร.อ.</v>
      </c>
      <c r="B39" t="str">
        <f ca="1">IFERROR(__xludf.DUMMYFUNCTION("""COMPUTED_VALUE"""),"เอกภัทร ลีภัทรพงศ์พันธ์")</f>
        <v>เอกภัทร ลีภัทรพงศ์พันธ์</v>
      </c>
      <c r="C39" t="str">
        <f ca="1">IFERROR(__xludf.DUMMYFUNCTION("""COMPUTED_VALUE"""),"ร.อ. เอกภัทร ลีภัทรพงศ์พันธ์")</f>
        <v>ร.อ. เอกภัทร ลีภัทรพงศ์พันธ์</v>
      </c>
    </row>
    <row r="40" spans="1:3" ht="12.75">
      <c r="A40" t="str">
        <f ca="1">IFERROR(__xludf.DUMMYFUNCTION("""COMPUTED_VALUE"""),"ร.ท.หญิง")</f>
        <v>ร.ท.หญิง</v>
      </c>
      <c r="B40" t="str">
        <f ca="1">IFERROR(__xludf.DUMMYFUNCTION("""COMPUTED_VALUE"""),"กชพร ว่องสกุล")</f>
        <v>กชพร ว่องสกุล</v>
      </c>
      <c r="C40" t="str">
        <f ca="1">IFERROR(__xludf.DUMMYFUNCTION("""COMPUTED_VALUE"""),"ร.ท.หญิง กชพร ว่องสกุล")</f>
        <v>ร.ท.หญิง กชพร ว่องสกุล</v>
      </c>
    </row>
    <row r="41" spans="1:3" ht="12.75">
      <c r="A41" t="str">
        <f ca="1">IFERROR(__xludf.DUMMYFUNCTION("""COMPUTED_VALUE"""),"ร.ท.")</f>
        <v>ร.ท.</v>
      </c>
      <c r="B41" t="str">
        <f ca="1">IFERROR(__xludf.DUMMYFUNCTION("""COMPUTED_VALUE"""),"จรินทร์ ทองนะ")</f>
        <v>จรินทร์ ทองนะ</v>
      </c>
      <c r="C41" t="str">
        <f ca="1">IFERROR(__xludf.DUMMYFUNCTION("""COMPUTED_VALUE"""),"ร.ท. จรินทร์ ทองนะ")</f>
        <v>ร.ท. จรินทร์ ทองนะ</v>
      </c>
    </row>
    <row r="42" spans="1:3" ht="12.75">
      <c r="A42" t="str">
        <f ca="1">IFERROR(__xludf.DUMMYFUNCTION("""COMPUTED_VALUE"""),"ร.ท.หญิง")</f>
        <v>ร.ท.หญิง</v>
      </c>
      <c r="B42" t="str">
        <f ca="1">IFERROR(__xludf.DUMMYFUNCTION("""COMPUTED_VALUE"""),"ณฐกช ศิริวัฒนไพบูลย์")</f>
        <v>ณฐกช ศิริวัฒนไพบูลย์</v>
      </c>
      <c r="C42" t="str">
        <f ca="1">IFERROR(__xludf.DUMMYFUNCTION("""COMPUTED_VALUE"""),"ร.ท.หญิง ณฐกช ศิริวัฒนไพบูลย์")</f>
        <v>ร.ท.หญิง ณฐกช ศิริวัฒนไพบูลย์</v>
      </c>
    </row>
    <row r="43" spans="1:3" ht="12.75">
      <c r="A43" t="str">
        <f ca="1">IFERROR(__xludf.DUMMYFUNCTION("""COMPUTED_VALUE"""),"ร.ท.")</f>
        <v>ร.ท.</v>
      </c>
      <c r="B43" t="str">
        <f ca="1">IFERROR(__xludf.DUMMYFUNCTION("""COMPUTED_VALUE"""),"ณัฐภูมิ ชุ่มเชื้อ")</f>
        <v>ณัฐภูมิ ชุ่มเชื้อ</v>
      </c>
      <c r="C43" t="str">
        <f ca="1">IFERROR(__xludf.DUMMYFUNCTION("""COMPUTED_VALUE"""),"ร.ท. ณัฐภูมิ ชุ่มเชื้อ")</f>
        <v>ร.ท. ณัฐภูมิ ชุ่มเชื้อ</v>
      </c>
    </row>
    <row r="44" spans="1:3" ht="12.75">
      <c r="A44" t="str">
        <f ca="1">IFERROR(__xludf.DUMMYFUNCTION("""COMPUTED_VALUE"""),"ร.ท.หญิง")</f>
        <v>ร.ท.หญิง</v>
      </c>
      <c r="B44" t="str">
        <f ca="1">IFERROR(__xludf.DUMMYFUNCTION("""COMPUTED_VALUE"""),"ตระการตา มหาสุคนธ์")</f>
        <v>ตระการตา มหาสุคนธ์</v>
      </c>
      <c r="C44" t="str">
        <f ca="1">IFERROR(__xludf.DUMMYFUNCTION("""COMPUTED_VALUE"""),"ร.ท.หญิง ตระการตา มหาสุคนธ์")</f>
        <v>ร.ท.หญิง ตระการตา มหาสุคนธ์</v>
      </c>
    </row>
    <row r="45" spans="1:3" ht="12.75">
      <c r="A45" t="str">
        <f ca="1">IFERROR(__xludf.DUMMYFUNCTION("""COMPUTED_VALUE"""),"ร.ท.")</f>
        <v>ร.ท.</v>
      </c>
      <c r="B45" t="str">
        <f ca="1">IFERROR(__xludf.DUMMYFUNCTION("""COMPUTED_VALUE"""),"เต็มสิทธิ์ สอนเอก")</f>
        <v>เต็มสิทธิ์ สอนเอก</v>
      </c>
      <c r="C45" t="str">
        <f ca="1">IFERROR(__xludf.DUMMYFUNCTION("""COMPUTED_VALUE"""),"ร.ท. เต็มสิทธิ์ สอนเอก")</f>
        <v>ร.ท. เต็มสิทธิ์ สอนเอก</v>
      </c>
    </row>
    <row r="46" spans="1:3" ht="12.75">
      <c r="A46" t="str">
        <f ca="1">IFERROR(__xludf.DUMMYFUNCTION("""COMPUTED_VALUE"""),"ร.ท.")</f>
        <v>ร.ท.</v>
      </c>
      <c r="B46" t="str">
        <f ca="1">IFERROR(__xludf.DUMMYFUNCTION("""COMPUTED_VALUE"""),"ประสาท เนาวไสศรี")</f>
        <v>ประสาท เนาวไสศรี</v>
      </c>
      <c r="C46" t="str">
        <f ca="1">IFERROR(__xludf.DUMMYFUNCTION("""COMPUTED_VALUE"""),"ร.ท. ประสาท เนาวไสศรี")</f>
        <v>ร.ท. ประสาท เนาวไสศรี</v>
      </c>
    </row>
    <row r="47" spans="1:3" ht="12.75">
      <c r="A47" t="str">
        <f ca="1">IFERROR(__xludf.DUMMYFUNCTION("""COMPUTED_VALUE"""),"ร.ท.หญิง")</f>
        <v>ร.ท.หญิง</v>
      </c>
      <c r="B47" t="str">
        <f ca="1">IFERROR(__xludf.DUMMYFUNCTION("""COMPUTED_VALUE"""),"ปรีชญา แก้วสุวรรณ์")</f>
        <v>ปรีชญา แก้วสุวรรณ์</v>
      </c>
      <c r="C47" t="str">
        <f ca="1">IFERROR(__xludf.DUMMYFUNCTION("""COMPUTED_VALUE"""),"ร.ท.หญิง ปรีชญา แก้วสุวรรณ์")</f>
        <v>ร.ท.หญิง ปรีชญา แก้วสุวรรณ์</v>
      </c>
    </row>
    <row r="48" spans="1:3" ht="12.75">
      <c r="A48" t="str">
        <f ca="1">IFERROR(__xludf.DUMMYFUNCTION("""COMPUTED_VALUE"""),"ร.ท.หญิง")</f>
        <v>ร.ท.หญิง</v>
      </c>
      <c r="B48" t="str">
        <f ca="1">IFERROR(__xludf.DUMMYFUNCTION("""COMPUTED_VALUE"""),"ปัทมวรรณ แก้วพรหม")</f>
        <v>ปัทมวรรณ แก้วพรหม</v>
      </c>
      <c r="C48" t="str">
        <f ca="1">IFERROR(__xludf.DUMMYFUNCTION("""COMPUTED_VALUE"""),"ร.ท.หญิง ปัทมวรรณ แก้วพรหม")</f>
        <v>ร.ท.หญิง ปัทมวรรณ แก้วพรหม</v>
      </c>
    </row>
    <row r="49" spans="1:3" ht="12.75">
      <c r="A49" t="str">
        <f ca="1">IFERROR(__xludf.DUMMYFUNCTION("""COMPUTED_VALUE"""),"ร.ท.")</f>
        <v>ร.ท.</v>
      </c>
      <c r="B49" t="str">
        <f ca="1">IFERROR(__xludf.DUMMYFUNCTION("""COMPUTED_VALUE"""),"พีระดนย์ ปาปะขำ")</f>
        <v>พีระดนย์ ปาปะขำ</v>
      </c>
      <c r="C49" t="str">
        <f ca="1">IFERROR(__xludf.DUMMYFUNCTION("""COMPUTED_VALUE"""),"ร.ท. พีระดนย์ ปาปะขำ")</f>
        <v>ร.ท. พีระดนย์ ปาปะขำ</v>
      </c>
    </row>
    <row r="50" spans="1:3" ht="12.75">
      <c r="A50" t="str">
        <f ca="1">IFERROR(__xludf.DUMMYFUNCTION("""COMPUTED_VALUE"""),"ร.ท.")</f>
        <v>ร.ท.</v>
      </c>
      <c r="B50" t="str">
        <f ca="1">IFERROR(__xludf.DUMMYFUNCTION("""COMPUTED_VALUE"""),"ยิ่งยง เครือใจ")</f>
        <v>ยิ่งยง เครือใจ</v>
      </c>
      <c r="C50" t="str">
        <f ca="1">IFERROR(__xludf.DUMMYFUNCTION("""COMPUTED_VALUE"""),"ร.ท. ยิ่งยง เครือใจ")</f>
        <v>ร.ท. ยิ่งยง เครือใจ</v>
      </c>
    </row>
    <row r="51" spans="1:3" ht="12.75">
      <c r="A51" t="str">
        <f ca="1">IFERROR(__xludf.DUMMYFUNCTION("""COMPUTED_VALUE"""),"ร.ท.")</f>
        <v>ร.ท.</v>
      </c>
      <c r="B51" t="str">
        <f ca="1">IFERROR(__xludf.DUMMYFUNCTION("""COMPUTED_VALUE"""),"วิศรุต  ฉันทลาโภ")</f>
        <v>วิศรุต  ฉันทลาโภ</v>
      </c>
      <c r="C51" t="str">
        <f ca="1">IFERROR(__xludf.DUMMYFUNCTION("""COMPUTED_VALUE"""),"ร.ท. วิศรุต  ฉันทลาโภ")</f>
        <v>ร.ท. วิศรุต  ฉันทลาโภ</v>
      </c>
    </row>
    <row r="52" spans="1:3" ht="12.75">
      <c r="A52" t="str">
        <f ca="1">IFERROR(__xludf.DUMMYFUNCTION("""COMPUTED_VALUE"""),"ร.ท.")</f>
        <v>ร.ท.</v>
      </c>
      <c r="B52" t="str">
        <f ca="1">IFERROR(__xludf.DUMMYFUNCTION("""COMPUTED_VALUE"""),"ศิรชัฎ บุญสิทธิ์")</f>
        <v>ศิรชัฎ บุญสิทธิ์</v>
      </c>
      <c r="C52" t="str">
        <f ca="1">IFERROR(__xludf.DUMMYFUNCTION("""COMPUTED_VALUE"""),"ร.ท. ศิรชัฎ บุญสิทธิ์")</f>
        <v>ร.ท. ศิรชัฎ บุญสิทธิ์</v>
      </c>
    </row>
    <row r="53" spans="1:3" ht="12.75">
      <c r="A53" t="str">
        <f ca="1">IFERROR(__xludf.DUMMYFUNCTION("""COMPUTED_VALUE"""),"ร.ท.")</f>
        <v>ร.ท.</v>
      </c>
      <c r="B53" t="str">
        <f ca="1">IFERROR(__xludf.DUMMYFUNCTION("""COMPUTED_VALUE"""),"ศุภกิจ  แก้วสมบุญ")</f>
        <v>ศุภกิจ  แก้วสมบุญ</v>
      </c>
      <c r="C53" t="str">
        <f ca="1">IFERROR(__xludf.DUMMYFUNCTION("""COMPUTED_VALUE"""),"ร.ท. ศุภกิจ  แก้วสมบุญ")</f>
        <v>ร.ท. ศุภกิจ  แก้วสมบุญ</v>
      </c>
    </row>
    <row r="54" spans="1:3" ht="12.75">
      <c r="A54" t="str">
        <f ca="1">IFERROR(__xludf.DUMMYFUNCTION("""COMPUTED_VALUE"""),"ร.ท.")</f>
        <v>ร.ท.</v>
      </c>
      <c r="B54" t="str">
        <f ca="1">IFERROR(__xludf.DUMMYFUNCTION("""COMPUTED_VALUE"""),"สิทธิเดช  ฮดคำ")</f>
        <v>สิทธิเดช  ฮดคำ</v>
      </c>
      <c r="C54" t="str">
        <f ca="1">IFERROR(__xludf.DUMMYFUNCTION("""COMPUTED_VALUE"""),"ร.ท. สิทธิเดช  ฮดคำ")</f>
        <v>ร.ท. สิทธิเดช  ฮดคำ</v>
      </c>
    </row>
    <row r="55" spans="1:3" ht="12.75">
      <c r="A55" t="str">
        <f ca="1">IFERROR(__xludf.DUMMYFUNCTION("""COMPUTED_VALUE"""),"ร.ท.")</f>
        <v>ร.ท.</v>
      </c>
      <c r="B55" t="str">
        <f ca="1">IFERROR(__xludf.DUMMYFUNCTION("""COMPUTED_VALUE"""),"สิวะ เทียมภัก")</f>
        <v>สิวะ เทียมภัก</v>
      </c>
      <c r="C55" t="str">
        <f ca="1">IFERROR(__xludf.DUMMYFUNCTION("""COMPUTED_VALUE"""),"ร.ท. สิวะ เทียมภัก")</f>
        <v>ร.ท. สิวะ เทียมภัก</v>
      </c>
    </row>
    <row r="56" spans="1:3" ht="12.75">
      <c r="A56" t="str">
        <f ca="1">IFERROR(__xludf.DUMMYFUNCTION("""COMPUTED_VALUE"""),"ร.ท.")</f>
        <v>ร.ท.</v>
      </c>
      <c r="B56" t="str">
        <f ca="1">IFERROR(__xludf.DUMMYFUNCTION("""COMPUTED_VALUE"""),"อนาวิล นิวาศานนท์")</f>
        <v>อนาวิล นิวาศานนท์</v>
      </c>
      <c r="C56" t="str">
        <f ca="1">IFERROR(__xludf.DUMMYFUNCTION("""COMPUTED_VALUE"""),"ร.ท. อนาวิล นิวาศานนท์")</f>
        <v>ร.ท. อนาวิล นิวาศานนท์</v>
      </c>
    </row>
    <row r="57" spans="1:3" ht="12.75">
      <c r="A57" t="str">
        <f ca="1">IFERROR(__xludf.DUMMYFUNCTION("""COMPUTED_VALUE"""),"ร.ท.")</f>
        <v>ร.ท.</v>
      </c>
      <c r="B57" t="str">
        <f ca="1">IFERROR(__xludf.DUMMYFUNCTION("""COMPUTED_VALUE"""),"อรุณวัฒน์ รุ่งสว่าง")</f>
        <v>อรุณวัฒน์ รุ่งสว่าง</v>
      </c>
      <c r="C57" t="str">
        <f ca="1">IFERROR(__xludf.DUMMYFUNCTION("""COMPUTED_VALUE"""),"ร.ท. อรุณวัฒน์ รุ่งสว่าง")</f>
        <v>ร.ท. อรุณวัฒน์ รุ่งสว่าง</v>
      </c>
    </row>
    <row r="58" spans="1:3" ht="12.75">
      <c r="A58" t="str">
        <f ca="1">IFERROR(__xludf.DUMMYFUNCTION("""COMPUTED_VALUE"""),"ร.ท.หญิง")</f>
        <v>ร.ท.หญิง</v>
      </c>
      <c r="B58" t="str">
        <f ca="1">IFERROR(__xludf.DUMMYFUNCTION("""COMPUTED_VALUE"""),"อาจรีย์ นีรนาทธนา")</f>
        <v>อาจรีย์ นีรนาทธนา</v>
      </c>
      <c r="C58" t="str">
        <f ca="1">IFERROR(__xludf.DUMMYFUNCTION("""COMPUTED_VALUE"""),"ร.ท.หญิง อาจรีย์ นีรนาทธนา")</f>
        <v>ร.ท.หญิง อาจรีย์ นีรนาทธนา</v>
      </c>
    </row>
    <row r="59" spans="1:3" ht="12.75">
      <c r="A59" t="str">
        <f ca="1">IFERROR(__xludf.DUMMYFUNCTION("""COMPUTED_VALUE"""),"ร.ต.")</f>
        <v>ร.ต.</v>
      </c>
      <c r="B59" t="str">
        <f ca="1">IFERROR(__xludf.DUMMYFUNCTION("""COMPUTED_VALUE"""),"ถิน พิมพ์งาม")</f>
        <v>ถิน พิมพ์งาม</v>
      </c>
      <c r="C59" t="str">
        <f ca="1">IFERROR(__xludf.DUMMYFUNCTION("""COMPUTED_VALUE"""),"ร.ต. ถิน พิมพ์งาม")</f>
        <v>ร.ต. ถิน พิมพ์งาม</v>
      </c>
    </row>
    <row r="60" spans="1:3" ht="12.75">
      <c r="A60" t="str">
        <f ca="1">IFERROR(__xludf.DUMMYFUNCTION("""COMPUTED_VALUE"""),"ร.ต.")</f>
        <v>ร.ต.</v>
      </c>
      <c r="B60" t="str">
        <f ca="1">IFERROR(__xludf.DUMMYFUNCTION("""COMPUTED_VALUE"""),"เทพประทาน พรหมจาริน ")</f>
        <v xml:space="preserve">เทพประทาน พรหมจาริน </v>
      </c>
      <c r="C60" t="str">
        <f ca="1">IFERROR(__xludf.DUMMYFUNCTION("""COMPUTED_VALUE"""),"ร.ต. เทพประทาน พรหมจาริน ")</f>
        <v xml:space="preserve">ร.ต. เทพประทาน พรหมจาริน </v>
      </c>
    </row>
    <row r="61" spans="1:3" ht="12.75">
      <c r="A61" t="str">
        <f ca="1">IFERROR(__xludf.DUMMYFUNCTION("""COMPUTED_VALUE"""),"ร.ต.")</f>
        <v>ร.ต.</v>
      </c>
      <c r="B61" t="str">
        <f ca="1">IFERROR(__xludf.DUMMYFUNCTION("""COMPUTED_VALUE"""),"นันทเดช เล็กใบ ")</f>
        <v xml:space="preserve">นันทเดช เล็กใบ </v>
      </c>
      <c r="C61" t="str">
        <f ca="1">IFERROR(__xludf.DUMMYFUNCTION("""COMPUTED_VALUE"""),"ร.ต. นันทเดช เล็กใบ ")</f>
        <v xml:space="preserve">ร.ต. นันทเดช เล็กใบ </v>
      </c>
    </row>
    <row r="62" spans="1:3" ht="12.75">
      <c r="A62" t="str">
        <f ca="1">IFERROR(__xludf.DUMMYFUNCTION("""COMPUTED_VALUE"""),"ร.ต.")</f>
        <v>ร.ต.</v>
      </c>
      <c r="B62" t="str">
        <f ca="1">IFERROR(__xludf.DUMMYFUNCTION("""COMPUTED_VALUE"""),"ปานชัย  อุดมศรี")</f>
        <v>ปานชัย  อุดมศรี</v>
      </c>
      <c r="C62" t="str">
        <f ca="1">IFERROR(__xludf.DUMMYFUNCTION("""COMPUTED_VALUE"""),"ร.ต. ปานชัย  อุดมศรี")</f>
        <v>ร.ต. ปานชัย  อุดมศรี</v>
      </c>
    </row>
    <row r="63" spans="1:3" ht="12.75">
      <c r="A63" t="str">
        <f ca="1">IFERROR(__xludf.DUMMYFUNCTION("""COMPUTED_VALUE"""),"ร.ต.")</f>
        <v>ร.ต.</v>
      </c>
      <c r="B63" t="str">
        <f ca="1">IFERROR(__xludf.DUMMYFUNCTION("""COMPUTED_VALUE"""),"ปิยะพัฒน์  ตรีรัตนประยูร")</f>
        <v>ปิยะพัฒน์  ตรีรัตนประยูร</v>
      </c>
      <c r="C63" t="str">
        <f ca="1">IFERROR(__xludf.DUMMYFUNCTION("""COMPUTED_VALUE"""),"ว่าที่เรืออากาศตรี ปิยะพัฒน์  ตรีรัตนประยูร")</f>
        <v>ว่าที่เรืออากาศตรี ปิยะพัฒน์  ตรีรัตนประยูร</v>
      </c>
    </row>
    <row r="64" spans="1:3" ht="12.75">
      <c r="A64" t="str">
        <f ca="1">IFERROR(__xludf.DUMMYFUNCTION("""COMPUTED_VALUE"""),"ร.ต.")</f>
        <v>ร.ต.</v>
      </c>
      <c r="B64" t="str">
        <f ca="1">IFERROR(__xludf.DUMMYFUNCTION("""COMPUTED_VALUE"""),"พิษณุ อินทะ")</f>
        <v>พิษณุ อินทะ</v>
      </c>
      <c r="C64" t="str">
        <f ca="1">IFERROR(__xludf.DUMMYFUNCTION("""COMPUTED_VALUE"""),"ร.ต. พิษณุ อินทะ")</f>
        <v>ร.ต. พิษณุ อินทะ</v>
      </c>
    </row>
    <row r="65" spans="1:3" ht="12.75">
      <c r="A65" t="str">
        <f ca="1">IFERROR(__xludf.DUMMYFUNCTION("""COMPUTED_VALUE"""),"ร.ต.")</f>
        <v>ร.ต.</v>
      </c>
      <c r="B65" t="str">
        <f ca="1">IFERROR(__xludf.DUMMYFUNCTION("""COMPUTED_VALUE"""),"ภาณุพงค์ เทียมทะนง")</f>
        <v>ภาณุพงค์ เทียมทะนง</v>
      </c>
      <c r="C65" t="str">
        <f ca="1">IFERROR(__xludf.DUMMYFUNCTION("""COMPUTED_VALUE"""),"ร.ต. ภาณุพงค์ เทียมทะนง")</f>
        <v>ร.ต. ภาณุพงค์ เทียมทะนง</v>
      </c>
    </row>
    <row r="66" spans="1:3" ht="12.75">
      <c r="A66" t="str">
        <f ca="1">IFERROR(__xludf.DUMMYFUNCTION("""COMPUTED_VALUE"""),"ร.ต.")</f>
        <v>ร.ต.</v>
      </c>
      <c r="B66" t="str">
        <f ca="1">IFERROR(__xludf.DUMMYFUNCTION("""COMPUTED_VALUE"""),"วิษณุ  ฉันใด")</f>
        <v>วิษณุ  ฉันใด</v>
      </c>
      <c r="C66" t="str">
        <f ca="1">IFERROR(__xludf.DUMMYFUNCTION("""COMPUTED_VALUE"""),"ว่่าที่เรืออากาศตรี วิษณุ  ฉันใด")</f>
        <v>ว่่าที่เรืออากาศตรี วิษณุ  ฉันใด</v>
      </c>
    </row>
    <row r="67" spans="1:3" ht="12.75">
      <c r="A67" t="str">
        <f ca="1">IFERROR(__xludf.DUMMYFUNCTION("""COMPUTED_VALUE"""),"ร.ต.หญิง")</f>
        <v>ร.ต.หญิง</v>
      </c>
      <c r="B67" t="str">
        <f ca="1">IFERROR(__xludf.DUMMYFUNCTION("""COMPUTED_VALUE"""),"ศิริอรุณ  มัจฉาสกุล")</f>
        <v>ศิริอรุณ  มัจฉาสกุล</v>
      </c>
      <c r="C67" t="str">
        <f ca="1">IFERROR(__xludf.DUMMYFUNCTION("""COMPUTED_VALUE"""),"ร.ต.หญิง ศิริอรุณ  มัจฉาสกุล")</f>
        <v>ร.ต.หญิง ศิริอรุณ  มัจฉาสกุล</v>
      </c>
    </row>
    <row r="68" spans="1:3" ht="12.75">
      <c r="A68" t="str">
        <f ca="1">IFERROR(__xludf.DUMMYFUNCTION("""COMPUTED_VALUE"""),"ร.ต.")</f>
        <v>ร.ต.</v>
      </c>
      <c r="B68" t="str">
        <f ca="1">IFERROR(__xludf.DUMMYFUNCTION("""COMPUTED_VALUE"""),"สง่า อวบสันเทียะ")</f>
        <v>สง่า อวบสันเทียะ</v>
      </c>
      <c r="C68" t="str">
        <f ca="1">IFERROR(__xludf.DUMMYFUNCTION("""COMPUTED_VALUE"""),"ร.ต. สง่า อวบสันเทียะ")</f>
        <v>ร.ต. สง่า อวบสันเทียะ</v>
      </c>
    </row>
    <row r="69" spans="1:3" ht="12.75">
      <c r="A69" t="str">
        <f ca="1">IFERROR(__xludf.DUMMYFUNCTION("""COMPUTED_VALUE"""),"ร.ต.")</f>
        <v>ร.ต.</v>
      </c>
      <c r="B69" t="str">
        <f ca="1">IFERROR(__xludf.DUMMYFUNCTION("""COMPUTED_VALUE"""),"สมเจตน์ เมฆบริสุทธิ์")</f>
        <v>สมเจตน์ เมฆบริสุทธิ์</v>
      </c>
      <c r="C69" t="str">
        <f ca="1">IFERROR(__xludf.DUMMYFUNCTION("""COMPUTED_VALUE"""),"ร.ต. สมเจตน์ เมฆบริสุทธิ์")</f>
        <v>ร.ต. สมเจตน์ เมฆบริสุทธิ์</v>
      </c>
    </row>
    <row r="70" spans="1:3" ht="12.75">
      <c r="A70" t="str">
        <f ca="1">IFERROR(__xludf.DUMMYFUNCTION("""COMPUTED_VALUE"""),"ร.ต.หญิง")</f>
        <v>ร.ต.หญิง</v>
      </c>
      <c r="B70" t="str">
        <f ca="1">IFERROR(__xludf.DUMMYFUNCTION("""COMPUTED_VALUE"""),"สิริรัตน์  ปิณฑะบุตร")</f>
        <v>สิริรัตน์  ปิณฑะบุตร</v>
      </c>
      <c r="C70" t="str">
        <f ca="1">IFERROR(__xludf.DUMMYFUNCTION("""COMPUTED_VALUE"""),"ร.ต.หญิง สิริรัตน์  ปิณฑะบุตร")</f>
        <v>ร.ต.หญิง สิริรัตน์  ปิณฑะบุตร</v>
      </c>
    </row>
    <row r="71" spans="1:3" ht="12.75">
      <c r="A71" t="str">
        <f ca="1">IFERROR(__xludf.DUMMYFUNCTION("""COMPUTED_VALUE"""),"ร.ต.")</f>
        <v>ร.ต.</v>
      </c>
      <c r="B71" t="str">
        <f ca="1">IFERROR(__xludf.DUMMYFUNCTION("""COMPUTED_VALUE"""),"สุวรรณ ท้วมมัย ")</f>
        <v xml:space="preserve">สุวรรณ ท้วมมัย </v>
      </c>
      <c r="C71" t="str">
        <f ca="1">IFERROR(__xludf.DUMMYFUNCTION("""COMPUTED_VALUE"""),"ร.ต. สุวรรณ ท้วมมัย ")</f>
        <v xml:space="preserve">ร.ต. สุวรรณ ท้วมมัย </v>
      </c>
    </row>
    <row r="72" spans="1:3" ht="12.75">
      <c r="A72" t="str">
        <f ca="1">IFERROR(__xludf.DUMMYFUNCTION("""COMPUTED_VALUE"""),"ร.ต.")</f>
        <v>ร.ต.</v>
      </c>
      <c r="B72" t="str">
        <f ca="1">IFERROR(__xludf.DUMMYFUNCTION("""COMPUTED_VALUE"""),"อานนท์์  กระออมแก้ว")</f>
        <v>อานนท์์  กระออมแก้ว</v>
      </c>
      <c r="C72" t="str">
        <f ca="1">IFERROR(__xludf.DUMMYFUNCTION("""COMPUTED_VALUE"""),"ร.ต. อานนท์์  กระออมแก้ว")</f>
        <v>ร.ต. อานนท์์  กระออมแก้ว</v>
      </c>
    </row>
    <row r="73" spans="1:3" ht="12.75">
      <c r="A73" t="str">
        <f ca="1">IFERROR(__xludf.DUMMYFUNCTION("""COMPUTED_VALUE"""),"พ.อ.อ.")</f>
        <v>พ.อ.อ.</v>
      </c>
      <c r="B73" t="str">
        <f ca="1">IFERROR(__xludf.DUMMYFUNCTION("""COMPUTED_VALUE"""),"เกื้อ ปรางค์แก้ว")</f>
        <v>เกื้อ ปรางค์แก้ว</v>
      </c>
      <c r="C73" t="str">
        <f ca="1">IFERROR(__xludf.DUMMYFUNCTION("""COMPUTED_VALUE"""),"พ.อ.อ. เกื้อ ปรางค์แก้ว")</f>
        <v>พ.อ.อ. เกื้อ ปรางค์แก้ว</v>
      </c>
    </row>
    <row r="74" spans="1:3" ht="12.75">
      <c r="A74" t="str">
        <f ca="1">IFERROR(__xludf.DUMMYFUNCTION("""COMPUTED_VALUE"""),"พ.อ.อ.")</f>
        <v>พ.อ.อ.</v>
      </c>
      <c r="B74" t="str">
        <f ca="1">IFERROR(__xludf.DUMMYFUNCTION("""COMPUTED_VALUE"""),"คงกฤช สุวรรณคง")</f>
        <v>คงกฤช สุวรรณคง</v>
      </c>
      <c r="C74" t="str">
        <f ca="1">IFERROR(__xludf.DUMMYFUNCTION("""COMPUTED_VALUE"""),"พ.อ.อ. คงกฤช สุวรรณคง")</f>
        <v>พ.อ.อ. คงกฤช สุวรรณคง</v>
      </c>
    </row>
    <row r="75" spans="1:3" ht="12.75">
      <c r="A75" t="str">
        <f ca="1">IFERROR(__xludf.DUMMYFUNCTION("""COMPUTED_VALUE"""),"พ.อ.อ.")</f>
        <v>พ.อ.อ.</v>
      </c>
      <c r="B75" t="str">
        <f ca="1">IFERROR(__xludf.DUMMYFUNCTION("""COMPUTED_VALUE"""),"จิรายุ เจริญพรรค")</f>
        <v>จิรายุ เจริญพรรค</v>
      </c>
      <c r="C75" t="str">
        <f ca="1">IFERROR(__xludf.DUMMYFUNCTION("""COMPUTED_VALUE"""),"พ.อ.อ. จิรายุ เจริญพรรค")</f>
        <v>พ.อ.อ. จิรายุ เจริญพรรค</v>
      </c>
    </row>
    <row r="76" spans="1:3" ht="12.75">
      <c r="A76" t="str">
        <f ca="1">IFERROR(__xludf.DUMMYFUNCTION("""COMPUTED_VALUE"""),"พ.อ.อ.")</f>
        <v>พ.อ.อ.</v>
      </c>
      <c r="B76" t="str">
        <f ca="1">IFERROR(__xludf.DUMMYFUNCTION("""COMPUTED_VALUE"""),"เฉลิมพล มีสุข")</f>
        <v>เฉลิมพล มีสุข</v>
      </c>
      <c r="C76" t="str">
        <f ca="1">IFERROR(__xludf.DUMMYFUNCTION("""COMPUTED_VALUE"""),"พ.อ.อ. เฉลิมพล มีสุข")</f>
        <v>พ.อ.อ. เฉลิมพล มีสุข</v>
      </c>
    </row>
    <row r="77" spans="1:3" ht="12.75">
      <c r="A77" t="str">
        <f ca="1">IFERROR(__xludf.DUMMYFUNCTION("""COMPUTED_VALUE"""),"พ.อ.อ.")</f>
        <v>พ.อ.อ.</v>
      </c>
      <c r="B77" t="str">
        <f ca="1">IFERROR(__xludf.DUMMYFUNCTION("""COMPUTED_VALUE"""),"ธวัชชัย ธรรมจิตร")</f>
        <v>ธวัชชัย ธรรมจิตร</v>
      </c>
      <c r="C77" t="str">
        <f ca="1">IFERROR(__xludf.DUMMYFUNCTION("""COMPUTED_VALUE"""),"พ.อ.อ. ธวัชชัย ธรรมจิตร")</f>
        <v>พ.อ.อ. ธวัชชัย ธรรมจิตร</v>
      </c>
    </row>
    <row r="78" spans="1:3" ht="12.75">
      <c r="A78" t="str">
        <f ca="1">IFERROR(__xludf.DUMMYFUNCTION("""COMPUTED_VALUE"""),"พ.อ.อ.")</f>
        <v>พ.อ.อ.</v>
      </c>
      <c r="B78" t="str">
        <f ca="1">IFERROR(__xludf.DUMMYFUNCTION("""COMPUTED_VALUE"""),"นที กาญจนวิสูตร")</f>
        <v>นที กาญจนวิสูตร</v>
      </c>
      <c r="C78" t="str">
        <f ca="1">IFERROR(__xludf.DUMMYFUNCTION("""COMPUTED_VALUE"""),"พ.อ.อ. นที กาญจนวิสูตร")</f>
        <v>พ.อ.อ. นที กาญจนวิสูตร</v>
      </c>
    </row>
    <row r="79" spans="1:3" ht="12.75">
      <c r="A79" t="str">
        <f ca="1">IFERROR(__xludf.DUMMYFUNCTION("""COMPUTED_VALUE"""),"พ.อ.อ.")</f>
        <v>พ.อ.อ.</v>
      </c>
      <c r="B79" t="str">
        <f ca="1">IFERROR(__xludf.DUMMYFUNCTION("""COMPUTED_VALUE"""),"ปรยุทธ เหรียญประยูร ( พิเศษ ชย. )")</f>
        <v>ปรยุทธ เหรียญประยูร ( พิเศษ ชย. )</v>
      </c>
      <c r="C79" t="str">
        <f ca="1">IFERROR(__xludf.DUMMYFUNCTION("""COMPUTED_VALUE"""),"พ.อ.อ. ปรยุทธ เหรียญประยูร ( พิเศษ ชย. )")</f>
        <v>พ.อ.อ. ปรยุทธ เหรียญประยูร ( พิเศษ ชย. )</v>
      </c>
    </row>
    <row r="80" spans="1:3" ht="12.75">
      <c r="A80" t="str">
        <f ca="1">IFERROR(__xludf.DUMMYFUNCTION("""COMPUTED_VALUE"""),"พ.อ.อ.")</f>
        <v>พ.อ.อ.</v>
      </c>
      <c r="B80" t="str">
        <f ca="1">IFERROR(__xludf.DUMMYFUNCTION("""COMPUTED_VALUE"""),"ประพนธ์ สอนดิษฐ ( พิเศษ ชย. )")</f>
        <v>ประพนธ์ สอนดิษฐ ( พิเศษ ชย. )</v>
      </c>
      <c r="C80" t="str">
        <f ca="1">IFERROR(__xludf.DUMMYFUNCTION("""COMPUTED_VALUE"""),"พ.อ.อ. ประพนธ์ สอนดิษฐ ( พิเศษ ชย. )")</f>
        <v>พ.อ.อ. ประพนธ์ สอนดิษฐ ( พิเศษ ชย. )</v>
      </c>
    </row>
    <row r="81" spans="1:3" ht="12.75">
      <c r="A81" t="str">
        <f ca="1">IFERROR(__xludf.DUMMYFUNCTION("""COMPUTED_VALUE"""),"พ.อ.อ.")</f>
        <v>พ.อ.อ.</v>
      </c>
      <c r="B81" t="str">
        <f ca="1">IFERROR(__xludf.DUMMYFUNCTION("""COMPUTED_VALUE"""),"พูนทรัตน์ ค้ำชู")</f>
        <v>พูนทรัตน์ ค้ำชู</v>
      </c>
      <c r="C81" t="str">
        <f ca="1">IFERROR(__xludf.DUMMYFUNCTION("""COMPUTED_VALUE"""),"พ.อ.อ. พูนทรัตน์ ค้ำชู")</f>
        <v>พ.อ.อ. พูนทรัตน์ ค้ำชู</v>
      </c>
    </row>
    <row r="82" spans="1:3" ht="12.75">
      <c r="A82" t="str">
        <f ca="1">IFERROR(__xludf.DUMMYFUNCTION("""COMPUTED_VALUE"""),"พ.อ.อ.")</f>
        <v>พ.อ.อ.</v>
      </c>
      <c r="B82" t="str">
        <f ca="1">IFERROR(__xludf.DUMMYFUNCTION("""COMPUTED_VALUE"""),"รักเกียรติ สารินนท์")</f>
        <v>รักเกียรติ สารินนท์</v>
      </c>
      <c r="C82" t="str">
        <f ca="1">IFERROR(__xludf.DUMMYFUNCTION("""COMPUTED_VALUE"""),"พ.อ.อ. รักเกียรติ สารินนท์")</f>
        <v>พ.อ.อ. รักเกียรติ สารินนท์</v>
      </c>
    </row>
    <row r="83" spans="1:3" ht="12.75">
      <c r="A83" t="str">
        <f ca="1">IFERROR(__xludf.DUMMYFUNCTION("""COMPUTED_VALUE"""),"พ.อ.อ.")</f>
        <v>พ.อ.อ.</v>
      </c>
      <c r="B83" t="str">
        <f ca="1">IFERROR(__xludf.DUMMYFUNCTION("""COMPUTED_VALUE"""),"เรืองยศ วรคนอง")</f>
        <v>เรืองยศ วรคนอง</v>
      </c>
      <c r="C83" t="str">
        <f ca="1">IFERROR(__xludf.DUMMYFUNCTION("""COMPUTED_VALUE"""),"พ.อ.อ. เรืองยศ วรคนอง")</f>
        <v>พ.อ.อ. เรืองยศ วรคนอง</v>
      </c>
    </row>
    <row r="84" spans="1:3" ht="12.75">
      <c r="A84" t="str">
        <f ca="1">IFERROR(__xludf.DUMMYFUNCTION("""COMPUTED_VALUE"""),"พ.อ.อ.")</f>
        <v>พ.อ.อ.</v>
      </c>
      <c r="B84" t="str">
        <f ca="1">IFERROR(__xludf.DUMMYFUNCTION("""COMPUTED_VALUE"""),"วรรณชัย สวนเจริญ")</f>
        <v>วรรณชัย สวนเจริญ</v>
      </c>
      <c r="C84" t="str">
        <f ca="1">IFERROR(__xludf.DUMMYFUNCTION("""COMPUTED_VALUE"""),"พ.อ.อ. วรรณชัย สวนเจริญ")</f>
        <v>พ.อ.อ. วรรณชัย สวนเจริญ</v>
      </c>
    </row>
    <row r="85" spans="1:3" ht="12.75">
      <c r="A85" t="str">
        <f ca="1">IFERROR(__xludf.DUMMYFUNCTION("""COMPUTED_VALUE"""),"พ.อ.อ.")</f>
        <v>พ.อ.อ.</v>
      </c>
      <c r="B85" t="str">
        <f ca="1">IFERROR(__xludf.DUMMYFUNCTION("""COMPUTED_VALUE"""),"วัชรินทร์ เกตุปาน")</f>
        <v>วัชรินทร์ เกตุปาน</v>
      </c>
      <c r="C85" t="str">
        <f ca="1">IFERROR(__xludf.DUMMYFUNCTION("""COMPUTED_VALUE"""),"พ.อ.อ. วัชรินทร์ เกตุปาน")</f>
        <v>พ.อ.อ. วัชรินทร์ เกตุปาน</v>
      </c>
    </row>
    <row r="86" spans="1:3" ht="12.75">
      <c r="A86" t="str">
        <f ca="1">IFERROR(__xludf.DUMMYFUNCTION("""COMPUTED_VALUE"""),"พ.อ.อ.")</f>
        <v>พ.อ.อ.</v>
      </c>
      <c r="B86" t="str">
        <f ca="1">IFERROR(__xludf.DUMMYFUNCTION("""COMPUTED_VALUE"""),"วันชนะ วงศ์พยัคฆ์")</f>
        <v>วันชนะ วงศ์พยัคฆ์</v>
      </c>
      <c r="C86" t="str">
        <f ca="1">IFERROR(__xludf.DUMMYFUNCTION("""COMPUTED_VALUE"""),"พ.อ.อ. วันชนะ วงศ์พยัคฆ์")</f>
        <v>พ.อ.อ. วันชนะ วงศ์พยัคฆ์</v>
      </c>
    </row>
    <row r="87" spans="1:3" ht="12.75">
      <c r="A87" t="str">
        <f ca="1">IFERROR(__xludf.DUMMYFUNCTION("""COMPUTED_VALUE"""),"พ.อ.อ.")</f>
        <v>พ.อ.อ.</v>
      </c>
      <c r="B87" t="str">
        <f ca="1">IFERROR(__xludf.DUMMYFUNCTION("""COMPUTED_VALUE"""),"ศักดิ์รินทร์ เวฬุโพธิ์")</f>
        <v>ศักดิ์รินทร์ เวฬุโพธิ์</v>
      </c>
      <c r="C87" t="str">
        <f ca="1">IFERROR(__xludf.DUMMYFUNCTION("""COMPUTED_VALUE"""),"พ.อ.อ. ศักดิ์รินทร์ เวฬุโพธิ์")</f>
        <v>พ.อ.อ. ศักดิ์รินทร์ เวฬุโพธิ์</v>
      </c>
    </row>
    <row r="88" spans="1:3" ht="12.75">
      <c r="A88" t="str">
        <f ca="1">IFERROR(__xludf.DUMMYFUNCTION("""COMPUTED_VALUE"""),"พ.อ.อ.")</f>
        <v>พ.อ.อ.</v>
      </c>
      <c r="B88" t="str">
        <f ca="1">IFERROR(__xludf.DUMMYFUNCTION("""COMPUTED_VALUE"""),"สมเกียรติ ภู่ศรี")</f>
        <v>สมเกียรติ ภู่ศรี</v>
      </c>
      <c r="C88" t="str">
        <f ca="1">IFERROR(__xludf.DUMMYFUNCTION("""COMPUTED_VALUE"""),"พ.อ.อ. สมเกียรติ ภู่ศรี")</f>
        <v>พ.อ.อ. สมเกียรติ ภู่ศรี</v>
      </c>
    </row>
    <row r="89" spans="1:3" ht="12.75">
      <c r="A89" t="str">
        <f ca="1">IFERROR(__xludf.DUMMYFUNCTION("""COMPUTED_VALUE"""),"พ.อ.อ.")</f>
        <v>พ.อ.อ.</v>
      </c>
      <c r="B89" t="str">
        <f ca="1">IFERROR(__xludf.DUMMYFUNCTION("""COMPUTED_VALUE"""),"สมหมาย ประวงศ์")</f>
        <v>สมหมาย ประวงศ์</v>
      </c>
      <c r="C89" t="str">
        <f ca="1">IFERROR(__xludf.DUMMYFUNCTION("""COMPUTED_VALUE"""),"พ.อ.อ. สมหมาย ประวงศ์")</f>
        <v>พ.อ.อ. สมหมาย ประวงศ์</v>
      </c>
    </row>
    <row r="90" spans="1:3" ht="12.75">
      <c r="A90" t="str">
        <f ca="1">IFERROR(__xludf.DUMMYFUNCTION("""COMPUTED_VALUE"""),"พ.อ.อ.")</f>
        <v>พ.อ.อ.</v>
      </c>
      <c r="B90" t="str">
        <f ca="1">IFERROR(__xludf.DUMMYFUNCTION("""COMPUTED_VALUE"""),"สุชาติ อ่อนธรรม")</f>
        <v>สุชาติ อ่อนธรรม</v>
      </c>
      <c r="C90" t="str">
        <f ca="1">IFERROR(__xludf.DUMMYFUNCTION("""COMPUTED_VALUE"""),"พ.อ.อ. สุชาติ อ่อนธรรม")</f>
        <v>พ.อ.อ. สุชาติ อ่อนธรรม</v>
      </c>
    </row>
    <row r="91" spans="1:3" ht="12.75">
      <c r="A91" t="str">
        <f ca="1">IFERROR(__xludf.DUMMYFUNCTION("""COMPUTED_VALUE"""),"พ.อ.อ.")</f>
        <v>พ.อ.อ.</v>
      </c>
      <c r="B91" t="str">
        <f ca="1">IFERROR(__xludf.DUMMYFUNCTION("""COMPUTED_VALUE"""),"สุปิยะ จำรัสศรี ( พิเศษ สบ. )")</f>
        <v>สุปิยะ จำรัสศรี ( พิเศษ สบ. )</v>
      </c>
      <c r="C91" t="str">
        <f ca="1">IFERROR(__xludf.DUMMYFUNCTION("""COMPUTED_VALUE"""),"พ.อ.อ. สุปิยะ จำรัสศรี ( พิเศษ สบ. )")</f>
        <v>พ.อ.อ. สุปิยะ จำรัสศรี ( พิเศษ สบ. )</v>
      </c>
    </row>
    <row r="92" spans="1:3" ht="12.75">
      <c r="A92" t="str">
        <f ca="1">IFERROR(__xludf.DUMMYFUNCTION("""COMPUTED_VALUE"""),"พ.อ.อ.หญิง")</f>
        <v>พ.อ.อ.หญิง</v>
      </c>
      <c r="B92" t="str">
        <f ca="1">IFERROR(__xludf.DUMMYFUNCTION("""COMPUTED_VALUE"""),"สุวรรณา ทับสกุล")</f>
        <v>สุวรรณา ทับสกุล</v>
      </c>
      <c r="C92" t="str">
        <f ca="1">IFERROR(__xludf.DUMMYFUNCTION("""COMPUTED_VALUE"""),"พ.อ.อ.หญิง สุวรรณา ทับสกุล")</f>
        <v>พ.อ.อ.หญิง สุวรรณา ทับสกุล</v>
      </c>
    </row>
    <row r="93" spans="1:3" ht="12.75">
      <c r="A93" t="str">
        <f ca="1">IFERROR(__xludf.DUMMYFUNCTION("""COMPUTED_VALUE"""),"พ.อ.อ.")</f>
        <v>พ.อ.อ.</v>
      </c>
      <c r="B93" t="str">
        <f ca="1">IFERROR(__xludf.DUMMYFUNCTION("""COMPUTED_VALUE"""),"อาทิตย์ ศรีแก้ว")</f>
        <v>อาทิตย์ ศรีแก้ว</v>
      </c>
      <c r="C93" t="str">
        <f ca="1">IFERROR(__xludf.DUMMYFUNCTION("""COMPUTED_VALUE"""),"พ.อ.อ. อาทิตย์ ศรีแก้ว")</f>
        <v>พ.อ.อ. อาทิตย์ ศรีแก้ว</v>
      </c>
    </row>
    <row r="94" spans="1:3" ht="12.75">
      <c r="A94" t="str">
        <f ca="1">IFERROR(__xludf.DUMMYFUNCTION("""COMPUTED_VALUE"""),"พ.อ.ท.หญิง")</f>
        <v>พ.อ.ท.หญิง</v>
      </c>
      <c r="B94" t="str">
        <f ca="1">IFERROR(__xludf.DUMMYFUNCTION("""COMPUTED_VALUE"""),"รพีพรรณ บอกวงค์")</f>
        <v>รพีพรรณ บอกวงค์</v>
      </c>
      <c r="C94" t="str">
        <f ca="1">IFERROR(__xludf.DUMMYFUNCTION("""COMPUTED_VALUE"""),"พ.อ.ท.หญิง รพีพรรณ บอกวงค์")</f>
        <v>พ.อ.ท.หญิง รพีพรรณ บอกวงค์</v>
      </c>
    </row>
    <row r="95" spans="1:3" ht="12.75">
      <c r="A95" t="str">
        <f ca="1">IFERROR(__xludf.DUMMYFUNCTION("""COMPUTED_VALUE"""),"พ.อ.ท.หญิง")</f>
        <v>พ.อ.ท.หญิง</v>
      </c>
      <c r="B95" t="str">
        <f ca="1">IFERROR(__xludf.DUMMYFUNCTION("""COMPUTED_VALUE"""),"วราภรณ์ ชวดรัมย์")</f>
        <v>วราภรณ์ ชวดรัมย์</v>
      </c>
      <c r="C95" t="str">
        <f ca="1">IFERROR(__xludf.DUMMYFUNCTION("""COMPUTED_VALUE"""),"พ.อ.ท.หญิง วราภรณ์ ชวดรัมย์")</f>
        <v>พ.อ.ท.หญิง วราภรณ์ ชวดรัมย์</v>
      </c>
    </row>
    <row r="96" spans="1:3" ht="12.75">
      <c r="A96" t="str">
        <f ca="1">IFERROR(__xludf.DUMMYFUNCTION("""COMPUTED_VALUE"""),"พ.อ.ต.หญิง")</f>
        <v>พ.อ.ต.หญิง</v>
      </c>
      <c r="B96" t="str">
        <f ca="1">IFERROR(__xludf.DUMMYFUNCTION("""COMPUTED_VALUE"""),"ณัฏฐ์รมณ พันธุ์ไม้")</f>
        <v>ณัฏฐ์รมณ พันธุ์ไม้</v>
      </c>
      <c r="C96" t="str">
        <f ca="1">IFERROR(__xludf.DUMMYFUNCTION("""COMPUTED_VALUE"""),"พ.อ.ต.หญิง ณัฏฐ์รมณ พันธุ์ไม้")</f>
        <v>พ.อ.ต.หญิง ณัฏฐ์รมณ พันธุ์ไม้</v>
      </c>
    </row>
    <row r="97" spans="1:3" ht="12.75">
      <c r="A97" t="str">
        <f ca="1">IFERROR(__xludf.DUMMYFUNCTION("""COMPUTED_VALUE"""),"พ.อ.ต.หญิง")</f>
        <v>พ.อ.ต.หญิง</v>
      </c>
      <c r="B97" t="str">
        <f ca="1">IFERROR(__xludf.DUMMYFUNCTION("""COMPUTED_VALUE"""),"พุทธาวดี นาคน้อย")</f>
        <v>พุทธาวดี นาคน้อย</v>
      </c>
      <c r="C97" t="str">
        <f ca="1">IFERROR(__xludf.DUMMYFUNCTION("""COMPUTED_VALUE"""),"พ.อ.ต.หญิง พุทธาวดี นาคน้อย")</f>
        <v>พ.อ.ต.หญิง พุทธาวดี นาคน้อย</v>
      </c>
    </row>
    <row r="98" spans="1:3" ht="12.75">
      <c r="A98" t="str">
        <f ca="1">IFERROR(__xludf.DUMMYFUNCTION("""COMPUTED_VALUE"""),"พ.อ.ต.")</f>
        <v>พ.อ.ต.</v>
      </c>
      <c r="B98" t="str">
        <f ca="1">IFERROR(__xludf.DUMMYFUNCTION("""COMPUTED_VALUE"""),"รัฐกาล เนาวราช")</f>
        <v>รัฐกาล เนาวราช</v>
      </c>
      <c r="C98" t="str">
        <f ca="1">IFERROR(__xludf.DUMMYFUNCTION("""COMPUTED_VALUE"""),"พ.อ.ต. รัฐกาล เนาวราช")</f>
        <v>พ.อ.ต. รัฐกาล เนาวราช</v>
      </c>
    </row>
    <row r="99" spans="1:3" ht="12.75">
      <c r="A99" t="str">
        <f ca="1">IFERROR(__xludf.DUMMYFUNCTION("""COMPUTED_VALUE"""),"พ.อ.ต.")</f>
        <v>พ.อ.ต.</v>
      </c>
      <c r="B99" t="str">
        <f ca="1">IFERROR(__xludf.DUMMYFUNCTION("""COMPUTED_VALUE"""),"อรรถพล สีแก้ว")</f>
        <v>อรรถพล สีแก้ว</v>
      </c>
      <c r="C99" t="str">
        <f ca="1">IFERROR(__xludf.DUMMYFUNCTION("""COMPUTED_VALUE"""),"พ.อ.ต. อรรถพล สีแก้ว")</f>
        <v>พ.อ.ต. อรรถพล สีแก้ว</v>
      </c>
    </row>
    <row r="100" spans="1:3" ht="12.75">
      <c r="A100" t="str">
        <f ca="1">IFERROR(__xludf.DUMMYFUNCTION("""COMPUTED_VALUE"""),"จ.อ.")</f>
        <v>จ.อ.</v>
      </c>
      <c r="B100" t="str">
        <f ca="1">IFERROR(__xludf.DUMMYFUNCTION("""COMPUTED_VALUE"""),"กิตติศักดิ์ กาวะละ")</f>
        <v>กิตติศักดิ์ กาวะละ</v>
      </c>
      <c r="C100" t="str">
        <f ca="1">IFERROR(__xludf.DUMMYFUNCTION("""COMPUTED_VALUE"""),"จ.อ. กิตติศักดิ์ กาวะละ")</f>
        <v>จ.อ. กิตติศักดิ์ กาวะละ</v>
      </c>
    </row>
    <row r="101" spans="1:3" ht="12.75">
      <c r="A101" t="str">
        <f ca="1">IFERROR(__xludf.DUMMYFUNCTION("""COMPUTED_VALUE"""),"จ.อ.")</f>
        <v>จ.อ.</v>
      </c>
      <c r="B101" t="str">
        <f ca="1">IFERROR(__xludf.DUMMYFUNCTION("""COMPUTED_VALUE"""),"กิตติศักดิ์ สุวรรณ์")</f>
        <v>กิตติศักดิ์ สุวรรณ์</v>
      </c>
      <c r="C101" t="str">
        <f ca="1">IFERROR(__xludf.DUMMYFUNCTION("""COMPUTED_VALUE"""),"จ.อ. กิตติศักดิ์ สุวรรณ์")</f>
        <v>จ.อ. กิตติศักดิ์ สุวรรณ์</v>
      </c>
    </row>
    <row r="102" spans="1:3" ht="12.75">
      <c r="A102" t="str">
        <f ca="1">IFERROR(__xludf.DUMMYFUNCTION("""COMPUTED_VALUE"""),"จ.อ.")</f>
        <v>จ.อ.</v>
      </c>
      <c r="B102" t="str">
        <f ca="1">IFERROR(__xludf.DUMMYFUNCTION("""COMPUTED_VALUE"""),"ธีรพงศ์ มีแสวง")</f>
        <v>ธีรพงศ์ มีแสวง</v>
      </c>
      <c r="C102" t="str">
        <f ca="1">IFERROR(__xludf.DUMMYFUNCTION("""COMPUTED_VALUE"""),"จ.อ. ธีรพงศ์ มีแสวง")</f>
        <v>จ.อ. ธีรพงศ์ มีแสวง</v>
      </c>
    </row>
    <row r="103" spans="1:3" ht="12.75">
      <c r="A103" t="str">
        <f ca="1">IFERROR(__xludf.DUMMYFUNCTION("""COMPUTED_VALUE"""),"จ.อ.")</f>
        <v>จ.อ.</v>
      </c>
      <c r="B103" t="str">
        <f ca="1">IFERROR(__xludf.DUMMYFUNCTION("""COMPUTED_VALUE"""),"ประพันธ์ สายสิทธิ")</f>
        <v>ประพันธ์ สายสิทธิ</v>
      </c>
      <c r="C103" t="str">
        <f ca="1">IFERROR(__xludf.DUMMYFUNCTION("""COMPUTED_VALUE"""),"จ.อ. ประพันธ์ สายสิทธิ")</f>
        <v>จ.อ. ประพันธ์ สายสิทธิ</v>
      </c>
    </row>
    <row r="104" spans="1:3" ht="12.75">
      <c r="A104" t="str">
        <f ca="1">IFERROR(__xludf.DUMMYFUNCTION("""COMPUTED_VALUE"""),"จ.อ.หญิง")</f>
        <v>จ.อ.หญิง</v>
      </c>
      <c r="B104" t="str">
        <f ca="1">IFERROR(__xludf.DUMMYFUNCTION("""COMPUTED_VALUE"""),"ปิยะรัตน์ เจียระพงษ์")</f>
        <v>ปิยะรัตน์ เจียระพงษ์</v>
      </c>
      <c r="C104" t="str">
        <f ca="1">IFERROR(__xludf.DUMMYFUNCTION("""COMPUTED_VALUE"""),"จ.อ.หญิง ปิยะรัตน์ เจียระพงษ์")</f>
        <v>จ.อ.หญิง ปิยะรัตน์ เจียระพงษ์</v>
      </c>
    </row>
    <row r="105" spans="1:3" ht="12.75">
      <c r="A105" t="str">
        <f ca="1">IFERROR(__xludf.DUMMYFUNCTION("""COMPUTED_VALUE"""),"จ.อ.")</f>
        <v>จ.อ.</v>
      </c>
      <c r="B105" t="str">
        <f ca="1">IFERROR(__xludf.DUMMYFUNCTION("""COMPUTED_VALUE"""),"พัฒนา สระแก้ว")</f>
        <v>พัฒนา สระแก้ว</v>
      </c>
      <c r="C105" t="str">
        <f ca="1">IFERROR(__xludf.DUMMYFUNCTION("""COMPUTED_VALUE"""),"จ.อ. พัฒนา สระแก้ว")</f>
        <v>จ.อ. พัฒนา สระแก้ว</v>
      </c>
    </row>
    <row r="106" spans="1:3" ht="12.75">
      <c r="A106" t="str">
        <f ca="1">IFERROR(__xludf.DUMMYFUNCTION("""COMPUTED_VALUE"""),"จ.อ.หญิง")</f>
        <v>จ.อ.หญิง</v>
      </c>
      <c r="B106" t="str">
        <f ca="1">IFERROR(__xludf.DUMMYFUNCTION("""COMPUTED_VALUE"""),"พัทธ์ธีรา สังคะโลก")</f>
        <v>พัทธ์ธีรา สังคะโลก</v>
      </c>
      <c r="C106" t="str">
        <f ca="1">IFERROR(__xludf.DUMMYFUNCTION("""COMPUTED_VALUE"""),"จ.อ.หญิง พัทธ์ธีรา สังคะโลก")</f>
        <v>จ.อ.หญิง พัทธ์ธีรา สังคะโลก</v>
      </c>
    </row>
    <row r="107" spans="1:3" ht="12.75">
      <c r="A107" t="str">
        <f ca="1">IFERROR(__xludf.DUMMYFUNCTION("""COMPUTED_VALUE"""),"จ.อ.")</f>
        <v>จ.อ.</v>
      </c>
      <c r="B107" t="str">
        <f ca="1">IFERROR(__xludf.DUMMYFUNCTION("""COMPUTED_VALUE"""),"วิษธร รัตนวิชัย")</f>
        <v>วิษธร รัตนวิชัย</v>
      </c>
      <c r="C107" t="str">
        <f ca="1">IFERROR(__xludf.DUMMYFUNCTION("""COMPUTED_VALUE"""),"จ.อ. วิษธร รัตนวิชัย")</f>
        <v>จ.อ. วิษธร รัตนวิชัย</v>
      </c>
    </row>
    <row r="108" spans="1:3" ht="12.75">
      <c r="A108" t="str">
        <f ca="1">IFERROR(__xludf.DUMMYFUNCTION("""COMPUTED_VALUE"""),"จ.อ.")</f>
        <v>จ.อ.</v>
      </c>
      <c r="B108" t="str">
        <f ca="1">IFERROR(__xludf.DUMMYFUNCTION("""COMPUTED_VALUE"""),"เสริมศักดิ์ ทองประเสริฐ")</f>
        <v>เสริมศักดิ์ ทองประเสริฐ</v>
      </c>
      <c r="C108" t="str">
        <f ca="1">IFERROR(__xludf.DUMMYFUNCTION("""COMPUTED_VALUE"""),"จ.อ. เสริมศักดิ์ ทองประเสริฐ")</f>
        <v>จ.อ. เสริมศักดิ์ ทองประเสริฐ</v>
      </c>
    </row>
    <row r="109" spans="1:3" ht="12.75">
      <c r="A109" t="str">
        <f ca="1">IFERROR(__xludf.DUMMYFUNCTION("""COMPUTED_VALUE"""),"จ.อ.")</f>
        <v>จ.อ.</v>
      </c>
      <c r="B109" t="str">
        <f ca="1">IFERROR(__xludf.DUMMYFUNCTION("""COMPUTED_VALUE"""),"อัตสิทธิ์ ณิชากรพงศ์")</f>
        <v>อัตสิทธิ์ ณิชากรพงศ์</v>
      </c>
      <c r="C109" t="str">
        <f ca="1">IFERROR(__xludf.DUMMYFUNCTION("""COMPUTED_VALUE"""),"จ.อ. อัตสิทธิ์ ณิชากรพงศ์")</f>
        <v>จ.อ. อัตสิทธิ์ ณิชากรพงศ์</v>
      </c>
    </row>
    <row r="110" spans="1:3" ht="12.75">
      <c r="A110" t="str">
        <f ca="1">IFERROR(__xludf.DUMMYFUNCTION("""COMPUTED_VALUE"""),"จ.ท.")</f>
        <v>จ.ท.</v>
      </c>
      <c r="B110" t="str">
        <f ca="1">IFERROR(__xludf.DUMMYFUNCTION("""COMPUTED_VALUE"""),"กฤษฎา จั่นโต")</f>
        <v>กฤษฎา จั่นโต</v>
      </c>
      <c r="C110" t="str">
        <f ca="1">IFERROR(__xludf.DUMMYFUNCTION("""COMPUTED_VALUE"""),"จ.ท. กฤษฎา จั่นโต")</f>
        <v>จ.ท. กฤษฎา จั่นโต</v>
      </c>
    </row>
    <row r="111" spans="1:3" ht="12.75">
      <c r="A111" t="str">
        <f ca="1">IFERROR(__xludf.DUMMYFUNCTION("""COMPUTED_VALUE"""),"จ.ท.")</f>
        <v>จ.ท.</v>
      </c>
      <c r="B111" t="str">
        <f ca="1">IFERROR(__xludf.DUMMYFUNCTION("""COMPUTED_VALUE"""),"จตุพร สินธุชัย")</f>
        <v>จตุพร สินธุชัย</v>
      </c>
      <c r="C111" t="str">
        <f ca="1">IFERROR(__xludf.DUMMYFUNCTION("""COMPUTED_VALUE"""),"จ.ท. จตุพร สินธุชัย")</f>
        <v>จ.ท. จตุพร สินธุชัย</v>
      </c>
    </row>
    <row r="112" spans="1:3" ht="12.75">
      <c r="A112" t="str">
        <f ca="1">IFERROR(__xludf.DUMMYFUNCTION("""COMPUTED_VALUE"""),"จ.ท.")</f>
        <v>จ.ท.</v>
      </c>
      <c r="B112" t="str">
        <f ca="1">IFERROR(__xludf.DUMMYFUNCTION("""COMPUTED_VALUE"""),"จักรกฤษณ์ กองพอด")</f>
        <v>จักรกฤษณ์ กองพอด</v>
      </c>
      <c r="C112" t="str">
        <f ca="1">IFERROR(__xludf.DUMMYFUNCTION("""COMPUTED_VALUE"""),"จ.ท. จักรกฤษณ์ กองพอด")</f>
        <v>จ.ท. จักรกฤษณ์ กองพอด</v>
      </c>
    </row>
    <row r="113" spans="1:3" ht="12.75">
      <c r="A113" t="str">
        <f ca="1">IFERROR(__xludf.DUMMYFUNCTION("""COMPUTED_VALUE"""),"จ.ท.")</f>
        <v>จ.ท.</v>
      </c>
      <c r="B113" t="str">
        <f ca="1">IFERROR(__xludf.DUMMYFUNCTION("""COMPUTED_VALUE"""),"จิราวัฒน์ มั่นใจ")</f>
        <v>จิราวัฒน์ มั่นใจ</v>
      </c>
      <c r="C113" t="str">
        <f ca="1">IFERROR(__xludf.DUMMYFUNCTION("""COMPUTED_VALUE"""),"จ.ท. จิราวัฒน์ มั่นใจ")</f>
        <v>จ.ท. จิราวัฒน์ มั่นใจ</v>
      </c>
    </row>
    <row r="114" spans="1:3" ht="12.75">
      <c r="A114" t="str">
        <f ca="1">IFERROR(__xludf.DUMMYFUNCTION("""COMPUTED_VALUE"""),"จ.ท.")</f>
        <v>จ.ท.</v>
      </c>
      <c r="B114" t="str">
        <f ca="1">IFERROR(__xludf.DUMMYFUNCTION("""COMPUTED_VALUE"""),"เจนวิทย์ มีคลัง")</f>
        <v>เจนวิทย์ มีคลัง</v>
      </c>
      <c r="C114" t="str">
        <f ca="1">IFERROR(__xludf.DUMMYFUNCTION("""COMPUTED_VALUE"""),"จ.ท. เจนวิทย์ มีคลัง")</f>
        <v>จ.ท. เจนวิทย์ มีคลัง</v>
      </c>
    </row>
    <row r="115" spans="1:3" ht="12.75">
      <c r="A115" t="str">
        <f ca="1">IFERROR(__xludf.DUMMYFUNCTION("""COMPUTED_VALUE"""),"จ.ท.")</f>
        <v>จ.ท.</v>
      </c>
      <c r="B115" t="str">
        <f ca="1">IFERROR(__xludf.DUMMYFUNCTION("""COMPUTED_VALUE"""),"ชวลิต กาแก้ว")</f>
        <v>ชวลิต กาแก้ว</v>
      </c>
      <c r="C115" t="str">
        <f ca="1">IFERROR(__xludf.DUMMYFUNCTION("""COMPUTED_VALUE"""),"จ.ท. ชวลิต กาแก้ว")</f>
        <v>จ.ท. ชวลิต กาแก้ว</v>
      </c>
    </row>
    <row r="116" spans="1:3" ht="12.75">
      <c r="A116" t="str">
        <f ca="1">IFERROR(__xludf.DUMMYFUNCTION("""COMPUTED_VALUE"""),"จ.ท.")</f>
        <v>จ.ท.</v>
      </c>
      <c r="B116" t="str">
        <f ca="1">IFERROR(__xludf.DUMMYFUNCTION("""COMPUTED_VALUE"""),"ณัฐกฤช สิงห์โตทอง")</f>
        <v>ณัฐกฤช สิงห์โตทอง</v>
      </c>
      <c r="C116" t="str">
        <f ca="1">IFERROR(__xludf.DUMMYFUNCTION("""COMPUTED_VALUE"""),"จ.ท. ณัฐกฤช สิงห์โตทอง")</f>
        <v>จ.ท. ณัฐกฤช สิงห์โตทอง</v>
      </c>
    </row>
    <row r="117" spans="1:3" ht="12.75">
      <c r="A117" t="str">
        <f ca="1">IFERROR(__xludf.DUMMYFUNCTION("""COMPUTED_VALUE"""),"จ.อ.")</f>
        <v>จ.อ.</v>
      </c>
      <c r="B117" t="str">
        <f ca="1">IFERROR(__xludf.DUMMYFUNCTION("""COMPUTED_VALUE"""),"ธันวกานต์ แสงสกุล")</f>
        <v>ธันวกานต์ แสงสกุล</v>
      </c>
      <c r="C117" t="str">
        <f ca="1">IFERROR(__xludf.DUMMYFUNCTION("""COMPUTED_VALUE"""),"จ.อ. ธันวกานต์ แสงสกุล")</f>
        <v>จ.อ. ธันวกานต์ แสงสกุล</v>
      </c>
    </row>
    <row r="118" spans="1:3" ht="12.75">
      <c r="A118" t="str">
        <f ca="1">IFERROR(__xludf.DUMMYFUNCTION("""COMPUTED_VALUE"""),"จ.ท.")</f>
        <v>จ.ท.</v>
      </c>
      <c r="B118" t="str">
        <f ca="1">IFERROR(__xludf.DUMMYFUNCTION("""COMPUTED_VALUE"""),"บุญญฤทธิ์ สมมุ่ง")</f>
        <v>บุญญฤทธิ์ สมมุ่ง</v>
      </c>
      <c r="C118" t="str">
        <f ca="1">IFERROR(__xludf.DUMMYFUNCTION("""COMPUTED_VALUE"""),"จ.ท. บุญญฤทธิ์ สมมุ่ง")</f>
        <v>จ.ท. บุญญฤทธิ์ สมมุ่ง</v>
      </c>
    </row>
    <row r="119" spans="1:3" ht="12.75">
      <c r="A119" t="str">
        <f ca="1">IFERROR(__xludf.DUMMYFUNCTION("""COMPUTED_VALUE"""),"จ.ท.หญิง")</f>
        <v>จ.ท.หญิง</v>
      </c>
      <c r="B119" t="str">
        <f ca="1">IFERROR(__xludf.DUMMYFUNCTION("""COMPUTED_VALUE"""),"ปานชีวา  จิตรนิยมแสน")</f>
        <v>ปานชีวา  จิตรนิยมแสน</v>
      </c>
      <c r="C119" t="str">
        <f ca="1">IFERROR(__xludf.DUMMYFUNCTION("""COMPUTED_VALUE"""),"จ.ท.หญิง ปานชีวา  จิตรนิยมแสน")</f>
        <v>จ.ท.หญิง ปานชีวา  จิตรนิยมแสน</v>
      </c>
    </row>
    <row r="120" spans="1:3" ht="12.75">
      <c r="A120" t="str">
        <f ca="1">IFERROR(__xludf.DUMMYFUNCTION("""COMPUTED_VALUE"""),"จ.ท.")</f>
        <v>จ.ท.</v>
      </c>
      <c r="B120" t="str">
        <f ca="1">IFERROR(__xludf.DUMMYFUNCTION("""COMPUTED_VALUE"""),"ปิยนัฐ แจ่มใจ")</f>
        <v>ปิยนัฐ แจ่มใจ</v>
      </c>
      <c r="C120" t="str">
        <f ca="1">IFERROR(__xludf.DUMMYFUNCTION("""COMPUTED_VALUE"""),"จ.ท. ปิยนัฐ แจ่มใจ")</f>
        <v>จ.ท. ปิยนัฐ แจ่มใจ</v>
      </c>
    </row>
    <row r="121" spans="1:3" ht="12.75">
      <c r="A121" t="str">
        <f ca="1">IFERROR(__xludf.DUMMYFUNCTION("""COMPUTED_VALUE"""),"จ.ท.หญิง")</f>
        <v>จ.ท.หญิง</v>
      </c>
      <c r="B121" t="str">
        <f ca="1">IFERROR(__xludf.DUMMYFUNCTION("""COMPUTED_VALUE"""),"ปุณรดา วริศสิทธกุล")</f>
        <v>ปุณรดา วริศสิทธกุล</v>
      </c>
      <c r="C121" t="str">
        <f ca="1">IFERROR(__xludf.DUMMYFUNCTION("""COMPUTED_VALUE"""),"จ.ท.หญิง ปุณรดา วริศสิทธกุล")</f>
        <v>จ.ท.หญิง ปุณรดา วริศสิทธกุล</v>
      </c>
    </row>
    <row r="122" spans="1:3" ht="12.75">
      <c r="A122" t="str">
        <f ca="1">IFERROR(__xludf.DUMMYFUNCTION("""COMPUTED_VALUE"""),"จ.ท.หญิง")</f>
        <v>จ.ท.หญิง</v>
      </c>
      <c r="B122" t="str">
        <f ca="1">IFERROR(__xludf.DUMMYFUNCTION("""COMPUTED_VALUE"""),"พรพิมล  สีสงคราม")</f>
        <v>พรพิมล  สีสงคราม</v>
      </c>
      <c r="C122" t="str">
        <f ca="1">IFERROR(__xludf.DUMMYFUNCTION("""COMPUTED_VALUE"""),"จ.ท.หญิง พรพิมล  สีสงคราม")</f>
        <v>จ.ท.หญิง พรพิมล  สีสงคราม</v>
      </c>
    </row>
    <row r="123" spans="1:3" ht="12.75">
      <c r="A123" t="str">
        <f ca="1">IFERROR(__xludf.DUMMYFUNCTION("""COMPUTED_VALUE"""),"จ.ท.หญิง")</f>
        <v>จ.ท.หญิง</v>
      </c>
      <c r="B123" t="str">
        <f ca="1">IFERROR(__xludf.DUMMYFUNCTION("""COMPUTED_VALUE"""),"พัทริยา รัตนแสง")</f>
        <v>พัทริยา รัตนแสง</v>
      </c>
      <c r="C123" t="str">
        <f ca="1">IFERROR(__xludf.DUMMYFUNCTION("""COMPUTED_VALUE"""),"จ.ท.หญิง พัทริยา รัตนแสง")</f>
        <v>จ.ท.หญิง พัทริยา รัตนแสง</v>
      </c>
    </row>
    <row r="124" spans="1:3" ht="12.75">
      <c r="A124" t="str">
        <f ca="1">IFERROR(__xludf.DUMMYFUNCTION("""COMPUTED_VALUE"""),"จ.ท.")</f>
        <v>จ.ท.</v>
      </c>
      <c r="B124" t="str">
        <f ca="1">IFERROR(__xludf.DUMMYFUNCTION("""COMPUTED_VALUE"""),"พิทักษ์พร  พิดานปัน")</f>
        <v>พิทักษ์พร  พิดานปัน</v>
      </c>
      <c r="C124" t="str">
        <f ca="1">IFERROR(__xludf.DUMMYFUNCTION("""COMPUTED_VALUE"""),"จ.ท. พิทักษ์พร  พิดานปัน")</f>
        <v>จ.ท. พิทักษ์พร  พิดานปัน</v>
      </c>
    </row>
    <row r="125" spans="1:3" ht="12.75">
      <c r="A125" t="str">
        <f ca="1">IFERROR(__xludf.DUMMYFUNCTION("""COMPUTED_VALUE"""),"จ.ท.หญิง")</f>
        <v>จ.ท.หญิง</v>
      </c>
      <c r="B125" t="str">
        <f ca="1">IFERROR(__xludf.DUMMYFUNCTION("""COMPUTED_VALUE"""),"ภัสสร  ฤกษ์เฟื่องฟู")</f>
        <v>ภัสสร  ฤกษ์เฟื่องฟู</v>
      </c>
      <c r="C125" t="str">
        <f ca="1">IFERROR(__xludf.DUMMYFUNCTION("""COMPUTED_VALUE"""),"จ.ท.หญิง ภัสสร  ฤกษ์เฟื่องฟู")</f>
        <v>จ.ท.หญิง ภัสสร  ฤกษ์เฟื่องฟู</v>
      </c>
    </row>
    <row r="126" spans="1:3" ht="12.75">
      <c r="A126" t="str">
        <f ca="1">IFERROR(__xludf.DUMMYFUNCTION("""COMPUTED_VALUE"""),"จ.ท.")</f>
        <v>จ.ท.</v>
      </c>
      <c r="B126" t="str">
        <f ca="1">IFERROR(__xludf.DUMMYFUNCTION("""COMPUTED_VALUE"""),"เมษา วงสวัสดิ์")</f>
        <v>เมษา วงสวัสดิ์</v>
      </c>
      <c r="C126" t="str">
        <f ca="1">IFERROR(__xludf.DUMMYFUNCTION("""COMPUTED_VALUE"""),"จ.ท. เมษา วงสวัสดิ์")</f>
        <v>จ.ท. เมษา วงสวัสดิ์</v>
      </c>
    </row>
    <row r="127" spans="1:3" ht="12.75">
      <c r="A127" t="str">
        <f ca="1">IFERROR(__xludf.DUMMYFUNCTION("""COMPUTED_VALUE"""),"จ.ท.")</f>
        <v>จ.ท.</v>
      </c>
      <c r="B127" t="str">
        <f ca="1">IFERROR(__xludf.DUMMYFUNCTION("""COMPUTED_VALUE"""),"รัฐพล จัตุพล")</f>
        <v>รัฐพล จัตุพล</v>
      </c>
      <c r="C127" t="str">
        <f ca="1">IFERROR(__xludf.DUMMYFUNCTION("""COMPUTED_VALUE"""),"จ.ท. รัฐพล จัตุพล")</f>
        <v>จ.ท. รัฐพล จัตุพล</v>
      </c>
    </row>
    <row r="128" spans="1:3" ht="12.75">
      <c r="A128" t="str">
        <f ca="1">IFERROR(__xludf.DUMMYFUNCTION("""COMPUTED_VALUE"""),"จ.อ.")</f>
        <v>จ.อ.</v>
      </c>
      <c r="B128" t="str">
        <f ca="1">IFERROR(__xludf.DUMMYFUNCTION("""COMPUTED_VALUE"""),"วรพงษ์ แตงหอม")</f>
        <v>วรพงษ์ แตงหอม</v>
      </c>
      <c r="C128" t="str">
        <f ca="1">IFERROR(__xludf.DUMMYFUNCTION("""COMPUTED_VALUE"""),"จ.อ. วรพงษ์ แตงหอม")</f>
        <v>จ.อ. วรพงษ์ แตงหอม</v>
      </c>
    </row>
    <row r="129" spans="1:3" ht="12.75">
      <c r="A129" t="str">
        <f ca="1">IFERROR(__xludf.DUMMYFUNCTION("""COMPUTED_VALUE"""),"จ.ท.")</f>
        <v>จ.ท.</v>
      </c>
      <c r="B129" t="str">
        <f ca="1">IFERROR(__xludf.DUMMYFUNCTION("""COMPUTED_VALUE"""),"อภิชัย มงคลรบ")</f>
        <v>อภิชัย มงคลรบ</v>
      </c>
      <c r="C129" t="str">
        <f ca="1">IFERROR(__xludf.DUMMYFUNCTION("""COMPUTED_VALUE"""),"จ.ท. อภิชัย มงคลรบ")</f>
        <v>จ.ท. อภิชัย มงคลรบ</v>
      </c>
    </row>
    <row r="130" spans="1:3" ht="12.75">
      <c r="A130" t="str">
        <f ca="1">IFERROR(__xludf.DUMMYFUNCTION("""COMPUTED_VALUE"""),"จ.ต.")</f>
        <v>จ.ต.</v>
      </c>
      <c r="B130" t="str">
        <f ca="1">IFERROR(__xludf.DUMMYFUNCTION("""COMPUTED_VALUE"""),"ณัฐพล  คุ้มสุวรรณ์")</f>
        <v>ณัฐพล  คุ้มสุวรรณ์</v>
      </c>
      <c r="C130" t="str">
        <f ca="1">IFERROR(__xludf.DUMMYFUNCTION("""COMPUTED_VALUE"""),"จ.ต.ณัฐพล  คุ้มสุวรรณ์")</f>
        <v>จ.ต.ณัฐพล  คุ้มสุวรรณ์</v>
      </c>
    </row>
    <row r="131" spans="1:3" ht="12.75">
      <c r="A131" t="str">
        <f ca="1">IFERROR(__xludf.DUMMYFUNCTION("""COMPUTED_VALUE"""),"จ.ต.หญิง")</f>
        <v>จ.ต.หญิง</v>
      </c>
      <c r="B131" t="str">
        <f ca="1">IFERROR(__xludf.DUMMYFUNCTION("""COMPUTED_VALUE"""),"วรัญญา สมบุญมี")</f>
        <v>วรัญญา สมบุญมี</v>
      </c>
      <c r="C131" t="str">
        <f ca="1">IFERROR(__xludf.DUMMYFUNCTION("""COMPUTED_VALUE"""),"จ.ต.หญิง วรัญญา สมบุญมี")</f>
        <v>จ.ต.หญิง วรัญญา สมบุญมี</v>
      </c>
    </row>
    <row r="132" spans="1:3" ht="12.75">
      <c r="A132" t="str">
        <f ca="1">IFERROR(__xludf.DUMMYFUNCTION("""COMPUTED_VALUE"""),"จ.ต.")</f>
        <v>จ.ต.</v>
      </c>
      <c r="B132" t="str">
        <f ca="1">IFERROR(__xludf.DUMMYFUNCTION("""COMPUTED_VALUE"""),"สิทธิพงศ์  นาคพันธ์")</f>
        <v>สิทธิพงศ์  นาคพันธ์</v>
      </c>
      <c r="C132" t="str">
        <f ca="1">IFERROR(__xludf.DUMMYFUNCTION("""COMPUTED_VALUE"""),"จ.ต.สิทธิพงศ์  นาคพันธ์")</f>
        <v>จ.ต.สิทธิพงศ์  นาคพันธ์</v>
      </c>
    </row>
    <row r="133" spans="1:3" ht="12.75">
      <c r="A133" t="str">
        <f ca="1">IFERROR(__xludf.DUMMYFUNCTION("""COMPUTED_VALUE"""),"จ.ต.")</f>
        <v>จ.ต.</v>
      </c>
      <c r="B133" t="str">
        <f ca="1">IFERROR(__xludf.DUMMYFUNCTION("""COMPUTED_VALUE"""),"สิทธิพงษ์  จูยา")</f>
        <v>สิทธิพงษ์  จูยา</v>
      </c>
      <c r="C133" t="str">
        <f ca="1">IFERROR(__xludf.DUMMYFUNCTION("""COMPUTED_VALUE"""),"จ.ต.สิทธิพงษ์  จูยา")</f>
        <v>จ.ต.สิทธิพงษ์  จูยา</v>
      </c>
    </row>
    <row r="134" spans="1:3" ht="12.75">
      <c r="A134" t="str">
        <f ca="1">IFERROR(__xludf.DUMMYFUNCTION("""COMPUTED_VALUE"""),"จ.ต.")</f>
        <v>จ.ต.</v>
      </c>
      <c r="B134" t="str">
        <f ca="1">IFERROR(__xludf.DUMMYFUNCTION("""COMPUTED_VALUE"""),"อมรเทพ  พิชัย")</f>
        <v>อมรเทพ  พิชัย</v>
      </c>
      <c r="C134" t="str">
        <f ca="1">IFERROR(__xludf.DUMMYFUNCTION("""COMPUTED_VALUE"""),"จ.ต.อมรเทพ  พิชัย")</f>
        <v>จ.ต.อมรเทพ  พิชัย</v>
      </c>
    </row>
    <row r="135" spans="1:3" ht="12.75">
      <c r="A135" t="str">
        <f ca="1">IFERROR(__xludf.DUMMYFUNCTION("""COMPUTED_VALUE"""),"น.ส.")</f>
        <v>น.ส.</v>
      </c>
      <c r="B135" t="str">
        <f ca="1">IFERROR(__xludf.DUMMYFUNCTION("""COMPUTED_VALUE"""),"กรกนก  หาญวงษ์")</f>
        <v>กรกนก  หาญวงษ์</v>
      </c>
      <c r="C135" t="str">
        <f ca="1">IFERROR(__xludf.DUMMYFUNCTION("""COMPUTED_VALUE"""),"น.ส.กรกนก  หาญวงษ์")</f>
        <v>น.ส.กรกนก  หาญวงษ์</v>
      </c>
    </row>
    <row r="136" spans="1:3" ht="12.75">
      <c r="A136" t="str">
        <f ca="1">IFERROR(__xludf.DUMMYFUNCTION("""COMPUTED_VALUE"""),"น.ส.")</f>
        <v>น.ส.</v>
      </c>
      <c r="B136" t="str">
        <f ca="1">IFERROR(__xludf.DUMMYFUNCTION("""COMPUTED_VALUE"""),"กัลยา วรเดช")</f>
        <v>กัลยา วรเดช</v>
      </c>
      <c r="C136" t="str">
        <f ca="1">IFERROR(__xludf.DUMMYFUNCTION("""COMPUTED_VALUE"""),"น.ส. กัลยา วรเดช")</f>
        <v>น.ส. กัลยา วรเดช</v>
      </c>
    </row>
    <row r="137" spans="1:3" ht="12.75">
      <c r="A137" t="str">
        <f ca="1">IFERROR(__xludf.DUMMYFUNCTION("""COMPUTED_VALUE"""),"น.ส.")</f>
        <v>น.ส.</v>
      </c>
      <c r="B137" t="str">
        <f ca="1">IFERROR(__xludf.DUMMYFUNCTION("""COMPUTED_VALUE"""),"เกศรินทร์ ยินดีทีป")</f>
        <v>เกศรินทร์ ยินดีทีป</v>
      </c>
      <c r="C137" t="str">
        <f ca="1">IFERROR(__xludf.DUMMYFUNCTION("""COMPUTED_VALUE"""),"น.ส. เกศรินทร์ ยินดีทีป")</f>
        <v>น.ส. เกศรินทร์ ยินดีทีป</v>
      </c>
    </row>
    <row r="138" spans="1:3" ht="12.75">
      <c r="A138" t="str">
        <f ca="1">IFERROR(__xludf.DUMMYFUNCTION("""COMPUTED_VALUE"""),"น.ส.")</f>
        <v>น.ส.</v>
      </c>
      <c r="B138" t="str">
        <f ca="1">IFERROR(__xludf.DUMMYFUNCTION("""COMPUTED_VALUE"""),"ขวัญชนก เรือนนาค")</f>
        <v>ขวัญชนก เรือนนาค</v>
      </c>
      <c r="C138" t="str">
        <f ca="1">IFERROR(__xludf.DUMMYFUNCTION("""COMPUTED_VALUE"""),"น.ส. ขวัญชนก เรือนนาค")</f>
        <v>น.ส. ขวัญชนก เรือนนาค</v>
      </c>
    </row>
    <row r="139" spans="1:3" ht="12.75">
      <c r="A139" t="str">
        <f ca="1">IFERROR(__xludf.DUMMYFUNCTION("""COMPUTED_VALUE"""),"น.ส.")</f>
        <v>น.ส.</v>
      </c>
      <c r="B139" t="str">
        <f ca="1">IFERROR(__xludf.DUMMYFUNCTION("""COMPUTED_VALUE"""),"จารุณี อินทผล")</f>
        <v>จารุณี อินทผล</v>
      </c>
      <c r="C139" t="str">
        <f ca="1">IFERROR(__xludf.DUMMYFUNCTION("""COMPUTED_VALUE"""),"น.ส. จารุณี อินทผล")</f>
        <v>น.ส. จารุณี อินทผล</v>
      </c>
    </row>
    <row r="140" spans="1:3" ht="12.75">
      <c r="A140" t="str">
        <f ca="1">IFERROR(__xludf.DUMMYFUNCTION("""COMPUTED_VALUE"""),"น.ส.")</f>
        <v>น.ส.</v>
      </c>
      <c r="B140" t="str">
        <f ca="1">IFERROR(__xludf.DUMMYFUNCTION("""COMPUTED_VALUE"""),"จิราภรณ์  วงษา")</f>
        <v>จิราภรณ์  วงษา</v>
      </c>
      <c r="C140" t="str">
        <f ca="1">IFERROR(__xludf.DUMMYFUNCTION("""COMPUTED_VALUE"""),"น.ส. จิราภรณ์  วงษา")</f>
        <v>น.ส. จิราภรณ์  วงษา</v>
      </c>
    </row>
    <row r="141" spans="1:3" ht="12.75">
      <c r="A141" t="str">
        <f ca="1">IFERROR(__xludf.DUMMYFUNCTION("""COMPUTED_VALUE"""),"น.ส.")</f>
        <v>น.ส.</v>
      </c>
      <c r="B141" t="str">
        <f ca="1">IFERROR(__xludf.DUMMYFUNCTION("""COMPUTED_VALUE"""),"จุฑามาศ  แก้วนิยม")</f>
        <v>จุฑามาศ  แก้วนิยม</v>
      </c>
      <c r="C141" t="str">
        <f ca="1">IFERROR(__xludf.DUMMYFUNCTION("""COMPUTED_VALUE"""),"น.ส. จุฑามาศ  แก้วนิยม")</f>
        <v>น.ส. จุฑามาศ  แก้วนิยม</v>
      </c>
    </row>
    <row r="142" spans="1:3" ht="12.75">
      <c r="A142" t="str">
        <f ca="1">IFERROR(__xludf.DUMMYFUNCTION("""COMPUTED_VALUE"""),"น.ส.")</f>
        <v>น.ส.</v>
      </c>
      <c r="B142" t="str">
        <f ca="1">IFERROR(__xludf.DUMMYFUNCTION("""COMPUTED_VALUE"""),"จุฑามาส  บุญปลอด")</f>
        <v>จุฑามาส  บุญปลอด</v>
      </c>
      <c r="C142" t="str">
        <f ca="1">IFERROR(__xludf.DUMMYFUNCTION("""COMPUTED_VALUE"""),"น.ส.จุฑามาส  บุญปลอด")</f>
        <v>น.ส.จุฑามาส  บุญปลอด</v>
      </c>
    </row>
    <row r="143" spans="1:3" ht="12.75">
      <c r="A143" t="str">
        <f ca="1">IFERROR(__xludf.DUMMYFUNCTION("""COMPUTED_VALUE"""),"นาย")</f>
        <v>นาย</v>
      </c>
      <c r="B143" t="str">
        <f ca="1">IFERROR(__xludf.DUMMYFUNCTION("""COMPUTED_VALUE"""),"เจตริน  ศรีทอง")</f>
        <v>เจตริน  ศรีทอง</v>
      </c>
      <c r="C143" t="str">
        <f ca="1">IFERROR(__xludf.DUMMYFUNCTION("""COMPUTED_VALUE"""),"นาย เจตริน  ศรีทอง")</f>
        <v>นาย เจตริน  ศรีทอง</v>
      </c>
    </row>
    <row r="144" spans="1:3" ht="12.75">
      <c r="A144" t="str">
        <f ca="1">IFERROR(__xludf.DUMMYFUNCTION("""COMPUTED_VALUE"""),"นาง")</f>
        <v>นาง</v>
      </c>
      <c r="B144" t="str">
        <f ca="1">IFERROR(__xludf.DUMMYFUNCTION("""COMPUTED_VALUE"""),"เจติยา ไตรสูงเนิน")</f>
        <v>เจติยา ไตรสูงเนิน</v>
      </c>
      <c r="C144" t="str">
        <f ca="1">IFERROR(__xludf.DUMMYFUNCTION("""COMPUTED_VALUE"""),"นาง เจติยา ไตรสูงเนิน")</f>
        <v>นาง เจติยา ไตรสูงเนิน</v>
      </c>
    </row>
    <row r="145" spans="1:3" ht="12.75">
      <c r="A145" t="str">
        <f ca="1">IFERROR(__xludf.DUMMYFUNCTION("""COMPUTED_VALUE"""),"นาง")</f>
        <v>นาง</v>
      </c>
      <c r="B145" t="str">
        <f ca="1">IFERROR(__xludf.DUMMYFUNCTION("""COMPUTED_VALUE"""),"ชุติมา อังคุตรานนท์")</f>
        <v>ชุติมา อังคุตรานนท์</v>
      </c>
      <c r="C145" t="str">
        <f ca="1">IFERROR(__xludf.DUMMYFUNCTION("""COMPUTED_VALUE"""),"นาง ชุติมา อังคุตรานนท์")</f>
        <v>นาง ชุติมา อังคุตรานนท์</v>
      </c>
    </row>
    <row r="146" spans="1:3" ht="12.75">
      <c r="A146" t="str">
        <f ca="1">IFERROR(__xludf.DUMMYFUNCTION("""COMPUTED_VALUE"""),"นาย")</f>
        <v>นาย</v>
      </c>
      <c r="B146" t="str">
        <f ca="1">IFERROR(__xludf.DUMMYFUNCTION("""COMPUTED_VALUE"""),"ณัฏฐวัฒน์ แจ้งโพธิ์นาค")</f>
        <v>ณัฏฐวัฒน์ แจ้งโพธิ์นาค</v>
      </c>
      <c r="C146" t="str">
        <f ca="1">IFERROR(__xludf.DUMMYFUNCTION("""COMPUTED_VALUE"""),"นาย ณัฏฐวัฒน์ แจ้งโพธิ์นาค")</f>
        <v>นาย ณัฏฐวัฒน์ แจ้งโพธิ์นาค</v>
      </c>
    </row>
    <row r="147" spans="1:3" ht="12.75">
      <c r="A147" t="str">
        <f ca="1">IFERROR(__xludf.DUMMYFUNCTION("""COMPUTED_VALUE"""),"น.ส.")</f>
        <v>น.ส.</v>
      </c>
      <c r="B147" t="str">
        <f ca="1">IFERROR(__xludf.DUMMYFUNCTION("""COMPUTED_VALUE"""),"ดลพร ใจปินตา")</f>
        <v>ดลพร ใจปินตา</v>
      </c>
      <c r="C147" t="str">
        <f ca="1">IFERROR(__xludf.DUMMYFUNCTION("""COMPUTED_VALUE"""),"น.ส. ดลพร ใจปินตา")</f>
        <v>น.ส. ดลพร ใจปินตา</v>
      </c>
    </row>
    <row r="148" spans="1:3" ht="12.75">
      <c r="A148" t="str">
        <f ca="1">IFERROR(__xludf.DUMMYFUNCTION("""COMPUTED_VALUE"""),"นาย")</f>
        <v>นาย</v>
      </c>
      <c r="B148" t="str">
        <f ca="1">IFERROR(__xludf.DUMMYFUNCTION("""COMPUTED_VALUE"""),"ทินกร เกตุแย้ม")</f>
        <v>ทินกร เกตุแย้ม</v>
      </c>
      <c r="C148" t="str">
        <f ca="1">IFERROR(__xludf.DUMMYFUNCTION("""COMPUTED_VALUE"""),"นาย ทินกร เกตุแย้ม")</f>
        <v>นาย ทินกร เกตุแย้ม</v>
      </c>
    </row>
    <row r="149" spans="1:3" ht="12.75">
      <c r="A149" t="str">
        <f ca="1">IFERROR(__xludf.DUMMYFUNCTION("""COMPUTED_VALUE"""),"น.ส.")</f>
        <v>น.ส.</v>
      </c>
      <c r="B149" t="str">
        <f ca="1">IFERROR(__xludf.DUMMYFUNCTION("""COMPUTED_VALUE"""),"ธิติมา ชมพักตร์")</f>
        <v>ธิติมา ชมพักตร์</v>
      </c>
      <c r="C149" t="str">
        <f ca="1">IFERROR(__xludf.DUMMYFUNCTION("""COMPUTED_VALUE"""),"น.ส. ธิติมา ชมพักตร์")</f>
        <v>น.ส. ธิติมา ชมพักตร์</v>
      </c>
    </row>
    <row r="150" spans="1:3" ht="12.75">
      <c r="A150" t="str">
        <f ca="1">IFERROR(__xludf.DUMMYFUNCTION("""COMPUTED_VALUE"""),"น.ส.")</f>
        <v>น.ส.</v>
      </c>
      <c r="B150" t="str">
        <f ca="1">IFERROR(__xludf.DUMMYFUNCTION("""COMPUTED_VALUE"""),"นพรัตน์  หอมเย็น")</f>
        <v>นพรัตน์  หอมเย็น</v>
      </c>
      <c r="C150" t="str">
        <f ca="1">IFERROR(__xludf.DUMMYFUNCTION("""COMPUTED_VALUE"""),"น.ส. นพรัตน์  หอมเย็น")</f>
        <v>น.ส. นพรัตน์  หอมเย็น</v>
      </c>
    </row>
    <row r="151" spans="1:3" ht="12.75">
      <c r="A151" t="str">
        <f ca="1">IFERROR(__xludf.DUMMYFUNCTION("""COMPUTED_VALUE"""),"น.ส.")</f>
        <v>น.ส.</v>
      </c>
      <c r="B151" t="str">
        <f ca="1">IFERROR(__xludf.DUMMYFUNCTION("""COMPUTED_VALUE"""),"ธิดารัตน์  ชมพักตร์")</f>
        <v>ธิดารัตน์  ชมพักตร์</v>
      </c>
      <c r="C151" t="str">
        <f ca="1">IFERROR(__xludf.DUMMYFUNCTION("""COMPUTED_VALUE"""),"น.ส.ธิดารัตน์  ชมพักตร์")</f>
        <v>น.ส.ธิดารัตน์  ชมพักตร์</v>
      </c>
    </row>
    <row r="152" spans="1:3" ht="12.75">
      <c r="A152" t="str">
        <f ca="1">IFERROR(__xludf.DUMMYFUNCTION("""COMPUTED_VALUE"""),"นาง")</f>
        <v>นาง</v>
      </c>
      <c r="B152" t="str">
        <f ca="1">IFERROR(__xludf.DUMMYFUNCTION("""COMPUTED_VALUE"""),"บังอร กุมุท")</f>
        <v>บังอร กุมุท</v>
      </c>
      <c r="C152" t="str">
        <f ca="1">IFERROR(__xludf.DUMMYFUNCTION("""COMPUTED_VALUE"""),"นาง บังอร กุมุท")</f>
        <v>นาง บังอร กุมุท</v>
      </c>
    </row>
    <row r="153" spans="1:3" ht="12.75">
      <c r="A153" t="str">
        <f ca="1">IFERROR(__xludf.DUMMYFUNCTION("""COMPUTED_VALUE"""),"น.ส.")</f>
        <v>น.ส.</v>
      </c>
      <c r="B153" t="str">
        <f ca="1">IFERROR(__xludf.DUMMYFUNCTION("""COMPUTED_VALUE"""),"ประจิรา  ไพเราะ")</f>
        <v>ประจิรา  ไพเราะ</v>
      </c>
      <c r="C153" t="str">
        <f ca="1">IFERROR(__xludf.DUMMYFUNCTION("""COMPUTED_VALUE"""),"น.ส. ประจิรา  ไพเราะ")</f>
        <v>น.ส. ประจิรา  ไพเราะ</v>
      </c>
    </row>
    <row r="154" spans="1:3" ht="12.75">
      <c r="A154" t="str">
        <f ca="1">IFERROR(__xludf.DUMMYFUNCTION("""COMPUTED_VALUE"""),"นาง")</f>
        <v>นาง</v>
      </c>
      <c r="B154" t="str">
        <f ca="1">IFERROR(__xludf.DUMMYFUNCTION("""COMPUTED_VALUE"""),"ประทีป สร้อยพลอย")</f>
        <v>ประทีป สร้อยพลอย</v>
      </c>
      <c r="C154" t="str">
        <f ca="1">IFERROR(__xludf.DUMMYFUNCTION("""COMPUTED_VALUE"""),"นาง ประทีป สร้อยพลอย")</f>
        <v>นาง ประทีป สร้อยพลอย</v>
      </c>
    </row>
    <row r="155" spans="1:3" ht="12.75">
      <c r="A155" t="str">
        <f ca="1">IFERROR(__xludf.DUMMYFUNCTION("""COMPUTED_VALUE"""),"นาง")</f>
        <v>นาง</v>
      </c>
      <c r="B155" t="str">
        <f ca="1">IFERROR(__xludf.DUMMYFUNCTION("""COMPUTED_VALUE"""),"ประทุม สังวาลย์เงิน")</f>
        <v>ประทุม สังวาลย์เงิน</v>
      </c>
      <c r="C155" t="str">
        <f ca="1">IFERROR(__xludf.DUMMYFUNCTION("""COMPUTED_VALUE"""),"นาง ประทุม สังวาลย์เงิน")</f>
        <v>นาง ประทุม สังวาลย์เงิน</v>
      </c>
    </row>
    <row r="156" spans="1:3" ht="12.75">
      <c r="A156" t="str">
        <f ca="1">IFERROR(__xludf.DUMMYFUNCTION("""COMPUTED_VALUE"""),"นาย")</f>
        <v>นาย</v>
      </c>
      <c r="B156" t="str">
        <f ca="1">IFERROR(__xludf.DUMMYFUNCTION("""COMPUTED_VALUE"""),"พงษ์พิพัฒน์ ชมพักตร์")</f>
        <v>พงษ์พิพัฒน์ ชมพักตร์</v>
      </c>
      <c r="C156" t="str">
        <f ca="1">IFERROR(__xludf.DUMMYFUNCTION("""COMPUTED_VALUE"""),"นาย พงษ์พิพัฒน์ ชมพักตร์")</f>
        <v>นาย พงษ์พิพัฒน์ ชมพักตร์</v>
      </c>
    </row>
    <row r="157" spans="1:3" ht="12.75">
      <c r="A157" t="str">
        <f ca="1">IFERROR(__xludf.DUMMYFUNCTION("""COMPUTED_VALUE"""),"นาง")</f>
        <v>นาง</v>
      </c>
      <c r="B157" t="str">
        <f ca="1">IFERROR(__xludf.DUMMYFUNCTION("""COMPUTED_VALUE"""),"ภัคญดา เพ็งตะโก")</f>
        <v>ภัคญดา เพ็งตะโก</v>
      </c>
      <c r="C157" t="str">
        <f ca="1">IFERROR(__xludf.DUMMYFUNCTION("""COMPUTED_VALUE"""),"นาง ภัคญดา เพ็งตะโก")</f>
        <v>นาง ภัคญดา เพ็งตะโก</v>
      </c>
    </row>
    <row r="158" spans="1:3" ht="12.75">
      <c r="A158" t="str">
        <f ca="1">IFERROR(__xludf.DUMMYFUNCTION("""COMPUTED_VALUE"""),"นาย")</f>
        <v>นาย</v>
      </c>
      <c r="B158" t="str">
        <f ca="1">IFERROR(__xludf.DUMMYFUNCTION("""COMPUTED_VALUE"""),"ภัคพล  ศรีคงดวง")</f>
        <v>ภัคพล  ศรีคงดวง</v>
      </c>
      <c r="C158" t="str">
        <f ca="1">IFERROR(__xludf.DUMMYFUNCTION("""COMPUTED_VALUE"""),"นายภัคพล  ศรีคงดวง")</f>
        <v>นายภัคพล  ศรีคงดวง</v>
      </c>
    </row>
    <row r="159" spans="1:3" ht="12.75">
      <c r="A159" t="str">
        <f ca="1">IFERROR(__xludf.DUMMYFUNCTION("""COMPUTED_VALUE"""),"นาย")</f>
        <v>นาย</v>
      </c>
      <c r="B159" t="str">
        <f ca="1">IFERROR(__xludf.DUMMYFUNCTION("""COMPUTED_VALUE"""),"ภาณุพงศ์ สังวาลย์เงิน")</f>
        <v>ภาณุพงศ์ สังวาลย์เงิน</v>
      </c>
      <c r="C159" t="str">
        <f ca="1">IFERROR(__xludf.DUMMYFUNCTION("""COMPUTED_VALUE"""),"นาย ภาณุพงศ์ สังวาลย์เงิน")</f>
        <v>นาย ภาณุพงศ์ สังวาลย์เงิน</v>
      </c>
    </row>
    <row r="160" spans="1:3" ht="12.75">
      <c r="A160" t="str">
        <f ca="1">IFERROR(__xludf.DUMMYFUNCTION("""COMPUTED_VALUE"""),"นาง")</f>
        <v>นาง</v>
      </c>
      <c r="B160" t="str">
        <f ca="1">IFERROR(__xludf.DUMMYFUNCTION("""COMPUTED_VALUE"""),"ภาวิดา แจ้งโพธิ์นาค")</f>
        <v>ภาวิดา แจ้งโพธิ์นาค</v>
      </c>
      <c r="C160" t="str">
        <f ca="1">IFERROR(__xludf.DUMMYFUNCTION("""COMPUTED_VALUE"""),"นาง ภาวิดา แจ้งโพธิ์นาค")</f>
        <v>นาง ภาวิดา แจ้งโพธิ์นาค</v>
      </c>
    </row>
    <row r="161" spans="1:3" ht="12.75">
      <c r="A161" t="str">
        <f ca="1">IFERROR(__xludf.DUMMYFUNCTION("""COMPUTED_VALUE"""),"นาย")</f>
        <v>นาย</v>
      </c>
      <c r="B161" t="str">
        <f ca="1">IFERROR(__xludf.DUMMYFUNCTION("""COMPUTED_VALUE"""),"มาโนช  บอกวงค์")</f>
        <v>มาโนช  บอกวงค์</v>
      </c>
      <c r="C161" t="str">
        <f ca="1">IFERROR(__xludf.DUMMYFUNCTION("""COMPUTED_VALUE"""),"นายมาโนช  บอกวงค์")</f>
        <v>นายมาโนช  บอกวงค์</v>
      </c>
    </row>
    <row r="162" spans="1:3" ht="12.75">
      <c r="A162" t="str">
        <f ca="1">IFERROR(__xludf.DUMMYFUNCTION("""COMPUTED_VALUE"""),"น.ส.")</f>
        <v>น.ส.</v>
      </c>
      <c r="B162" t="str">
        <f ca="1">IFERROR(__xludf.DUMMYFUNCTION("""COMPUTED_VALUE"""),"รัตน์กมล มณีรัตน์")</f>
        <v>รัตน์กมล มณีรัตน์</v>
      </c>
      <c r="C162" t="str">
        <f ca="1">IFERROR(__xludf.DUMMYFUNCTION("""COMPUTED_VALUE"""),"น.ส. รัตน์กมล มณีรัตน์")</f>
        <v>น.ส. รัตน์กมล มณีรัตน์</v>
      </c>
    </row>
    <row r="163" spans="1:3" ht="12.75">
      <c r="A163" t="str">
        <f ca="1">IFERROR(__xludf.DUMMYFUNCTION("""COMPUTED_VALUE"""),"นาย")</f>
        <v>นาย</v>
      </c>
      <c r="B163" t="str">
        <f ca="1">IFERROR(__xludf.DUMMYFUNCTION("""COMPUTED_VALUE"""),"ราเชนทร์ พ่วงรอด")</f>
        <v>ราเชนทร์ พ่วงรอด</v>
      </c>
      <c r="C163" t="str">
        <f ca="1">IFERROR(__xludf.DUMMYFUNCTION("""COMPUTED_VALUE"""),"นาย ราเชนทร์ พ่วงรอด")</f>
        <v>นาย ราเชนทร์ พ่วงรอด</v>
      </c>
    </row>
    <row r="164" spans="1:3" ht="12.75">
      <c r="A164" t="str">
        <f ca="1">IFERROR(__xludf.DUMMYFUNCTION("""COMPUTED_VALUE"""),"น.ส.")</f>
        <v>น.ส.</v>
      </c>
      <c r="B164" t="str">
        <f ca="1">IFERROR(__xludf.DUMMYFUNCTION("""COMPUTED_VALUE"""),"วรรณรดา  อิทธิไชโย")</f>
        <v>วรรณรดา  อิทธิไชโย</v>
      </c>
      <c r="C164" t="str">
        <f ca="1">IFERROR(__xludf.DUMMYFUNCTION("""COMPUTED_VALUE"""),"น.ส. วรรณรดา  อิทธิไชโย")</f>
        <v>น.ส. วรรณรดา  อิทธิไชโย</v>
      </c>
    </row>
    <row r="165" spans="1:3" ht="12.75">
      <c r="A165" t="str">
        <f ca="1">IFERROR(__xludf.DUMMYFUNCTION("""COMPUTED_VALUE"""),"นาย")</f>
        <v>นาย</v>
      </c>
      <c r="B165" t="str">
        <f ca="1">IFERROR(__xludf.DUMMYFUNCTION("""COMPUTED_VALUE"""),"วัชรพงษ์ ภมร")</f>
        <v>วัชรพงษ์ ภมร</v>
      </c>
      <c r="C165" t="str">
        <f ca="1">IFERROR(__xludf.DUMMYFUNCTION("""COMPUTED_VALUE"""),"นาย วัชรพงษ์ ภมร")</f>
        <v>นาย วัชรพงษ์ ภมร</v>
      </c>
    </row>
    <row r="166" spans="1:3" ht="12.75">
      <c r="A166" t="str">
        <f ca="1">IFERROR(__xludf.DUMMYFUNCTION("""COMPUTED_VALUE"""),"นาย")</f>
        <v>นาย</v>
      </c>
      <c r="B166" t="str">
        <f ca="1">IFERROR(__xludf.DUMMYFUNCTION("""COMPUTED_VALUE"""),"วิชญ์วิสิฐ  พรมรังกา")</f>
        <v>วิชญ์วิสิฐ  พรมรังกา</v>
      </c>
      <c r="C166" t="str">
        <f ca="1">IFERROR(__xludf.DUMMYFUNCTION("""COMPUTED_VALUE"""),"นายวิชญ์วิสิฐ  พรมรังกา")</f>
        <v>นายวิชญ์วิสิฐ  พรมรังกา</v>
      </c>
    </row>
    <row r="167" spans="1:3" ht="12.75">
      <c r="A167" t="str">
        <f ca="1">IFERROR(__xludf.DUMMYFUNCTION("""COMPUTED_VALUE"""),"นาย")</f>
        <v>นาย</v>
      </c>
      <c r="B167" t="str">
        <f ca="1">IFERROR(__xludf.DUMMYFUNCTION("""COMPUTED_VALUE"""),"วิษณุ พัฒนจันทร์")</f>
        <v>วิษณุ พัฒนจันทร์</v>
      </c>
      <c r="C167" t="str">
        <f ca="1">IFERROR(__xludf.DUMMYFUNCTION("""COMPUTED_VALUE"""),"นาย วิษณุ พัฒนจันทร์")</f>
        <v>นาย วิษณุ พัฒนจันทร์</v>
      </c>
    </row>
    <row r="168" spans="1:3" ht="12.75">
      <c r="A168" t="str">
        <f ca="1">IFERROR(__xludf.DUMMYFUNCTION("""COMPUTED_VALUE"""),"นาย")</f>
        <v>นาย</v>
      </c>
      <c r="B168" t="str">
        <f ca="1">IFERROR(__xludf.DUMMYFUNCTION("""COMPUTED_VALUE"""),"ศิรัส ร่มลำดวน")</f>
        <v>ศิรัส ร่มลำดวน</v>
      </c>
      <c r="C168" t="str">
        <f ca="1">IFERROR(__xludf.DUMMYFUNCTION("""COMPUTED_VALUE"""),"นาย ศิรัส ร่มลำดวน")</f>
        <v>นาย ศิรัส ร่มลำดวน</v>
      </c>
    </row>
    <row r="169" spans="1:3" ht="12.75">
      <c r="A169" t="str">
        <f ca="1">IFERROR(__xludf.DUMMYFUNCTION("""COMPUTED_VALUE"""),"นาง")</f>
        <v>นาง</v>
      </c>
      <c r="B169" t="str">
        <f ca="1">IFERROR(__xludf.DUMMYFUNCTION("""COMPUTED_VALUE"""),"ศิริพร เนาวไสศรี")</f>
        <v>ศิริพร เนาวไสศรี</v>
      </c>
      <c r="C169" t="str">
        <f ca="1">IFERROR(__xludf.DUMMYFUNCTION("""COMPUTED_VALUE"""),"นาง ศิริพร เนาวไสศรี")</f>
        <v>นาง ศิริพร เนาวไสศรี</v>
      </c>
    </row>
    <row r="170" spans="1:3" ht="12.75">
      <c r="A170" t="str">
        <f ca="1">IFERROR(__xludf.DUMMYFUNCTION("""COMPUTED_VALUE"""),"นาย")</f>
        <v>นาย</v>
      </c>
      <c r="B170" t="str">
        <f ca="1">IFERROR(__xludf.DUMMYFUNCTION("""COMPUTED_VALUE"""),"สมมาตร์ สุกใส")</f>
        <v>สมมาตร์ สุกใส</v>
      </c>
      <c r="C170" t="str">
        <f ca="1">IFERROR(__xludf.DUMMYFUNCTION("""COMPUTED_VALUE"""),"นาย สมมาตร์ สุกใส")</f>
        <v>นาย สมมาตร์ สุกใส</v>
      </c>
    </row>
    <row r="171" spans="1:3" ht="12.75">
      <c r="A171" t="str">
        <f ca="1">IFERROR(__xludf.DUMMYFUNCTION("""COMPUTED_VALUE"""),"นาย")</f>
        <v>นาย</v>
      </c>
      <c r="B171" t="str">
        <f ca="1">IFERROR(__xludf.DUMMYFUNCTION("""COMPUTED_VALUE"""),"สุชิน สงวนชาติ")</f>
        <v>สุชิน สงวนชาติ</v>
      </c>
      <c r="C171" t="str">
        <f ca="1">IFERROR(__xludf.DUMMYFUNCTION("""COMPUTED_VALUE"""),"นาย สุชิน สงวนชาติ")</f>
        <v>นาย สุชิน สงวนชาติ</v>
      </c>
    </row>
    <row r="172" spans="1:3" ht="12.75">
      <c r="A172" t="str">
        <f ca="1">IFERROR(__xludf.DUMMYFUNCTION("""COMPUTED_VALUE"""),"น.ส.")</f>
        <v>น.ส.</v>
      </c>
      <c r="B172" t="str">
        <f ca="1">IFERROR(__xludf.DUMMYFUNCTION("""COMPUTED_VALUE"""),"สุธาทิพย์  แจ้งโพธิ์นาค")</f>
        <v>สุธาทิพย์  แจ้งโพธิ์นาค</v>
      </c>
      <c r="C172" t="str">
        <f ca="1">IFERROR(__xludf.DUMMYFUNCTION("""COMPUTED_VALUE"""),"น.ส. สุธาทิพย์  แจ้งโพธิ์นาค")</f>
        <v>น.ส. สุธาทิพย์  แจ้งโพธิ์นาค</v>
      </c>
    </row>
    <row r="173" spans="1:3" ht="12.75">
      <c r="A173" t="str">
        <f ca="1">IFERROR(__xludf.DUMMYFUNCTION("""COMPUTED_VALUE"""),"น.ส.")</f>
        <v>น.ส.</v>
      </c>
      <c r="B173" t="str">
        <f ca="1">IFERROR(__xludf.DUMMYFUNCTION("""COMPUTED_VALUE"""),"สุภาพร วงคำ")</f>
        <v>สุภาพร วงคำ</v>
      </c>
      <c r="C173" t="str">
        <f ca="1">IFERROR(__xludf.DUMMYFUNCTION("""COMPUTED_VALUE"""),"น.ส. สุภาพร วงคำ")</f>
        <v>น.ส. สุภาพร วงคำ</v>
      </c>
    </row>
    <row r="174" spans="1:3" ht="12.75">
      <c r="A174" t="str">
        <f ca="1">IFERROR(__xludf.DUMMYFUNCTION("""COMPUTED_VALUE"""),"นาย")</f>
        <v>นาย</v>
      </c>
      <c r="B174" t="str">
        <f ca="1">IFERROR(__xludf.DUMMYFUNCTION("""COMPUTED_VALUE"""),"สุวเชษฐ์  แผ่นภาษิต")</f>
        <v>สุวเชษฐ์  แผ่นภาษิต</v>
      </c>
      <c r="C174" t="str">
        <f ca="1">IFERROR(__xludf.DUMMYFUNCTION("""COMPUTED_VALUE"""),"นาย สุวเชษฐ์  แผ่นภาษิต")</f>
        <v>นาย สุวเชษฐ์  แผ่นภาษิต</v>
      </c>
    </row>
    <row r="175" spans="1:3" ht="12.75">
      <c r="A175" t="str">
        <f ca="1">IFERROR(__xludf.DUMMYFUNCTION("""COMPUTED_VALUE"""),"นาย")</f>
        <v>นาย</v>
      </c>
      <c r="B175" t="str">
        <f ca="1">IFERROR(__xludf.DUMMYFUNCTION("""COMPUTED_VALUE"""),"หลง เพียรทอง")</f>
        <v>หลง เพียรทอง</v>
      </c>
      <c r="C175" t="str">
        <f ca="1">IFERROR(__xludf.DUMMYFUNCTION("""COMPUTED_VALUE"""),"นาย หลง เพียรทอง")</f>
        <v>นาย หลง เพียรทอง</v>
      </c>
    </row>
    <row r="176" spans="1:3" ht="12.75">
      <c r="A176" t="str">
        <f ca="1">IFERROR(__xludf.DUMMYFUNCTION("""COMPUTED_VALUE"""),"นาย")</f>
        <v>นาย</v>
      </c>
      <c r="B176" t="str">
        <f ca="1">IFERROR(__xludf.DUMMYFUNCTION("""COMPUTED_VALUE"""),"อติรุต พ่วงรอด")</f>
        <v>อติรุต พ่วงรอด</v>
      </c>
      <c r="C176" t="str">
        <f ca="1">IFERROR(__xludf.DUMMYFUNCTION("""COMPUTED_VALUE"""),"นาย อติรุต พ่วงรอด")</f>
        <v>นาย อติรุต พ่วงรอด</v>
      </c>
    </row>
    <row r="177" spans="1:3" ht="12.75">
      <c r="A177" t="str">
        <f ca="1">IFERROR(__xludf.DUMMYFUNCTION("""COMPUTED_VALUE"""),"น.ส.")</f>
        <v>น.ส.</v>
      </c>
      <c r="B177" t="str">
        <f ca="1">IFERROR(__xludf.DUMMYFUNCTION("""COMPUTED_VALUE"""),"อนงค์ สิทธิดุลย์")</f>
        <v>อนงค์ สิทธิดุลย์</v>
      </c>
      <c r="C177" t="str">
        <f ca="1">IFERROR(__xludf.DUMMYFUNCTION("""COMPUTED_VALUE"""),"น.ส. อนงค์ สิทธิดุลย์")</f>
        <v>น.ส. อนงค์ สิทธิดุลย์</v>
      </c>
    </row>
    <row r="178" spans="1:3" ht="12.75">
      <c r="A178" t="str">
        <f ca="1">IFERROR(__xludf.DUMMYFUNCTION("""COMPUTED_VALUE"""),"นาย")</f>
        <v>นาย</v>
      </c>
      <c r="B178" t="str">
        <f ca="1">IFERROR(__xludf.DUMMYFUNCTION("""COMPUTED_VALUE"""),"อนรรฆพงษ์ บัวทอง")</f>
        <v>อนรรฆพงษ์ บัวทอง</v>
      </c>
      <c r="C178" t="str">
        <f ca="1">IFERROR(__xludf.DUMMYFUNCTION("""COMPUTED_VALUE"""),"นาย อนรรฆพงษ์ บัวทอง")</f>
        <v>นาย อนรรฆพงษ์ บัวทอง</v>
      </c>
    </row>
    <row r="179" spans="1:3" ht="12.75">
      <c r="A179" t="str">
        <f ca="1">IFERROR(__xludf.DUMMYFUNCTION("""COMPUTED_VALUE"""),"นาย")</f>
        <v>นาย</v>
      </c>
      <c r="B179" t="str">
        <f ca="1">IFERROR(__xludf.DUMMYFUNCTION("""COMPUTED_VALUE"""),"อนันต์ เหมือนจีน")</f>
        <v>อนันต์ เหมือนจีน</v>
      </c>
      <c r="C179" t="str">
        <f ca="1">IFERROR(__xludf.DUMMYFUNCTION("""COMPUTED_VALUE"""),"นาย อนันต์ เหมือนจีน")</f>
        <v>นาย อนันต์ เหมือนจีน</v>
      </c>
    </row>
    <row r="180" spans="1:3" ht="12.75">
      <c r="A180" t="str">
        <f ca="1">IFERROR(__xludf.DUMMYFUNCTION("""COMPUTED_VALUE"""),"นาย")</f>
        <v>นาย</v>
      </c>
      <c r="B180" t="str">
        <f ca="1">IFERROR(__xludf.DUMMYFUNCTION("""COMPUTED_VALUE"""),"อโนทัย  พุ่มแจ้ง")</f>
        <v>อโนทัย  พุ่มแจ้ง</v>
      </c>
      <c r="C180" t="str">
        <f ca="1">IFERROR(__xludf.DUMMYFUNCTION("""COMPUTED_VALUE"""),"นาย อโนทัย  พุ่มแจ้ง")</f>
        <v>นาย อโนทัย  พุ่มแจ้ง</v>
      </c>
    </row>
    <row r="181" spans="1:3" ht="12.75">
      <c r="A181" t="str">
        <f ca="1">IFERROR(__xludf.DUMMYFUNCTION("""COMPUTED_VALUE"""),"นาย")</f>
        <v>นาย</v>
      </c>
      <c r="B181" t="str">
        <f ca="1">IFERROR(__xludf.DUMMYFUNCTION("""COMPUTED_VALUE"""),"อมรศักดิ์ แก้วนิยม")</f>
        <v>อมรศักดิ์ แก้วนิยม</v>
      </c>
      <c r="C181" t="str">
        <f ca="1">IFERROR(__xludf.DUMMYFUNCTION("""COMPUTED_VALUE"""),"นาย อมรศักดิ์ แก้วนิยม")</f>
        <v>นาย อมรศักดิ์ แก้วนิยม</v>
      </c>
    </row>
    <row r="182" spans="1:3" ht="12.75">
      <c r="A182" t="str">
        <f ca="1">IFERROR(__xludf.DUMMYFUNCTION("""COMPUTED_VALUE"""),"นาย")</f>
        <v>นาย</v>
      </c>
      <c r="B182" t="str">
        <f ca="1">IFERROR(__xludf.DUMMYFUNCTION("""COMPUTED_VALUE"""),"อวิรุจ พ่วงรอด")</f>
        <v>อวิรุจ พ่วงรอด</v>
      </c>
      <c r="C182" t="str">
        <f ca="1">IFERROR(__xludf.DUMMYFUNCTION("""COMPUTED_VALUE"""),"นาย อวิรุจ พ่วงรอด")</f>
        <v>นาย อวิรุจ พ่วงรอด</v>
      </c>
    </row>
    <row r="183" spans="1:3" ht="12.75">
      <c r="A183" t="str">
        <f ca="1">IFERROR(__xludf.DUMMYFUNCTION("""COMPUTED_VALUE"""),"น.ส.")</f>
        <v>น.ส.</v>
      </c>
      <c r="B183" t="str">
        <f ca="1">IFERROR(__xludf.DUMMYFUNCTION("""COMPUTED_VALUE"""),"อักษรสวรรค์ สุวรรณคง")</f>
        <v>อักษรสวรรค์ สุวรรณคง</v>
      </c>
      <c r="C183" t="str">
        <f ca="1">IFERROR(__xludf.DUMMYFUNCTION("""COMPUTED_VALUE"""),"น.ส. อักษรสวรรค์ สุวรรณคง")</f>
        <v>น.ส. อักษรสวรรค์ สุวรรณคง</v>
      </c>
    </row>
    <row r="184" spans="1:3" ht="12.75">
      <c r="A184" t="str">
        <f ca="1">IFERROR(__xludf.DUMMYFUNCTION("""COMPUTED_VALUE"""),"นาย")</f>
        <v>นาย</v>
      </c>
      <c r="B184" t="str">
        <f ca="1">IFERROR(__xludf.DUMMYFUNCTION("""COMPUTED_VALUE"""),"อานนท์  พูลประเสริฐ")</f>
        <v>อานนท์  พูลประเสริฐ</v>
      </c>
      <c r="C184" t="str">
        <f ca="1">IFERROR(__xludf.DUMMYFUNCTION("""COMPUTED_VALUE"""),"นาย อานนท์  พูลประเสริฐ")</f>
        <v>นาย อานนท์  พูลประเสริฐ</v>
      </c>
    </row>
    <row r="185" spans="1:3" ht="12.75">
      <c r="A185" t="str">
        <f ca="1">IFERROR(__xludf.DUMMYFUNCTION("""COMPUTED_VALUE"""),"น.ส.")</f>
        <v>น.ส.</v>
      </c>
      <c r="B185" t="str">
        <f ca="1">IFERROR(__xludf.DUMMYFUNCTION("""COMPUTED_VALUE"""),"อารีย์ อินธนู")</f>
        <v>อารีย์ อินธนู</v>
      </c>
      <c r="C185" t="str">
        <f ca="1">IFERROR(__xludf.DUMMYFUNCTION("""COMPUTED_VALUE"""),"น.ส. อารีย์ อินธนู")</f>
        <v>น.ส. อารีย์ อินธนู</v>
      </c>
    </row>
    <row r="186" spans="1:3" ht="12.75">
      <c r="A186" t="str">
        <f ca="1">IFERROR(__xludf.DUMMYFUNCTION("""COMPUTED_VALUE"""),"")</f>
        <v/>
      </c>
      <c r="B186" t="str">
        <f ca="1">IFERROR(__xludf.DUMMYFUNCTION("""COMPUTED_VALUE"""),"")</f>
        <v/>
      </c>
      <c r="C186" t="str">
        <f ca="1">IFERROR(__xludf.DUMMYFUNCTION("""COMPUTED_VALUE""")," ")</f>
        <v xml:space="preserve"> </v>
      </c>
    </row>
    <row r="187" spans="1:3" ht="12.75">
      <c r="A187" t="str">
        <f ca="1">IFERROR(__xludf.DUMMYFUNCTION("""COMPUTED_VALUE"""),"")</f>
        <v/>
      </c>
      <c r="B187" t="str">
        <f ca="1">IFERROR(__xludf.DUMMYFUNCTION("""COMPUTED_VALUE"""),"")</f>
        <v/>
      </c>
      <c r="C187" t="str">
        <f ca="1">IFERROR(__xludf.DUMMYFUNCTION("""COMPUTED_VALUE""")," ")</f>
        <v xml:space="preserve"> </v>
      </c>
    </row>
    <row r="188" spans="1:3" ht="12.75">
      <c r="A188" t="str">
        <f ca="1">IFERROR(__xludf.DUMMYFUNCTION("""COMPUTED_VALUE"""),"")</f>
        <v/>
      </c>
      <c r="B188" t="str">
        <f ca="1">IFERROR(__xludf.DUMMYFUNCTION("""COMPUTED_VALUE"""),"")</f>
        <v/>
      </c>
      <c r="C188" t="str">
        <f ca="1">IFERROR(__xludf.DUMMYFUNCTION("""COMPUTED_VALUE""")," ")</f>
        <v xml:space="preserve"> </v>
      </c>
    </row>
    <row r="189" spans="1:3" ht="12.75">
      <c r="A189" t="str">
        <f ca="1">IFERROR(__xludf.DUMMYFUNCTION("""COMPUTED_VALUE"""),"")</f>
        <v/>
      </c>
      <c r="B189" t="str">
        <f ca="1">IFERROR(__xludf.DUMMYFUNCTION("""COMPUTED_VALUE"""),"")</f>
        <v/>
      </c>
      <c r="C189" t="str">
        <f ca="1">IFERROR(__xludf.DUMMYFUNCTION("""COMPUTED_VALUE""")," ")</f>
        <v xml:space="preserve"> </v>
      </c>
    </row>
    <row r="190" spans="1:3" ht="12.75">
      <c r="A190" t="str">
        <f ca="1">IFERROR(__xludf.DUMMYFUNCTION("""COMPUTED_VALUE"""),"")</f>
        <v/>
      </c>
      <c r="B190" t="str">
        <f ca="1">IFERROR(__xludf.DUMMYFUNCTION("""COMPUTED_VALUE"""),"")</f>
        <v/>
      </c>
      <c r="C190" t="str">
        <f ca="1">IFERROR(__xludf.DUMMYFUNCTION("""COMPUTED_VALUE""")," ")</f>
        <v xml:space="preserve"> </v>
      </c>
    </row>
    <row r="191" spans="1:3" ht="12.75">
      <c r="A191" t="str">
        <f ca="1">IFERROR(__xludf.DUMMYFUNCTION("""COMPUTED_VALUE"""),"")</f>
        <v/>
      </c>
      <c r="B191" t="str">
        <f ca="1">IFERROR(__xludf.DUMMYFUNCTION("""COMPUTED_VALUE"""),"")</f>
        <v/>
      </c>
      <c r="C191" t="str">
        <f ca="1">IFERROR(__xludf.DUMMYFUNCTION("""COMPUTED_VALUE""")," ")</f>
        <v xml:space="preserve"> </v>
      </c>
    </row>
    <row r="192" spans="1:3" ht="12.75">
      <c r="A192" t="str">
        <f ca="1">IFERROR(__xludf.DUMMYFUNCTION("""COMPUTED_VALUE"""),"")</f>
        <v/>
      </c>
      <c r="B192" t="str">
        <f ca="1">IFERROR(__xludf.DUMMYFUNCTION("""COMPUTED_VALUE"""),"")</f>
        <v/>
      </c>
      <c r="C192" t="str">
        <f ca="1">IFERROR(__xludf.DUMMYFUNCTION("""COMPUTED_VALUE""")," ")</f>
        <v xml:space="preserve"> </v>
      </c>
    </row>
    <row r="193" spans="1:3" ht="12.75">
      <c r="A193" t="str">
        <f ca="1">IFERROR(__xludf.DUMMYFUNCTION("""COMPUTED_VALUE"""),"")</f>
        <v/>
      </c>
      <c r="B193" t="str">
        <f ca="1">IFERROR(__xludf.DUMMYFUNCTION("""COMPUTED_VALUE"""),"")</f>
        <v/>
      </c>
      <c r="C193" t="str">
        <f ca="1">IFERROR(__xludf.DUMMYFUNCTION("""COMPUTED_VALUE""")," ")</f>
        <v xml:space="preserve"> </v>
      </c>
    </row>
    <row r="194" spans="1:3" ht="12.75">
      <c r="A194" t="str">
        <f ca="1">IFERROR(__xludf.DUMMYFUNCTION("""COMPUTED_VALUE"""),"")</f>
        <v/>
      </c>
      <c r="B194" t="str">
        <f ca="1">IFERROR(__xludf.DUMMYFUNCTION("""COMPUTED_VALUE"""),"")</f>
        <v/>
      </c>
      <c r="C194" t="str">
        <f ca="1">IFERROR(__xludf.DUMMYFUNCTION("""COMPUTED_VALUE""")," ")</f>
        <v xml:space="preserve"> </v>
      </c>
    </row>
    <row r="195" spans="1:3" ht="12.75">
      <c r="A195" t="str">
        <f ca="1">IFERROR(__xludf.DUMMYFUNCTION("""COMPUTED_VALUE"""),"")</f>
        <v/>
      </c>
      <c r="B195" t="str">
        <f ca="1">IFERROR(__xludf.DUMMYFUNCTION("""COMPUTED_VALUE"""),"")</f>
        <v/>
      </c>
      <c r="C195" t="str">
        <f ca="1">IFERROR(__xludf.DUMMYFUNCTION("""COMPUTED_VALUE""")," ")</f>
        <v xml:space="preserve"> </v>
      </c>
    </row>
    <row r="196" spans="1:3" ht="12.75">
      <c r="A196" t="str">
        <f ca="1">IFERROR(__xludf.DUMMYFUNCTION("""COMPUTED_VALUE"""),"")</f>
        <v/>
      </c>
      <c r="B196" t="str">
        <f ca="1">IFERROR(__xludf.DUMMYFUNCTION("""COMPUTED_VALUE"""),"")</f>
        <v/>
      </c>
      <c r="C196" t="str">
        <f ca="1">IFERROR(__xludf.DUMMYFUNCTION("""COMPUTED_VALUE""")," ")</f>
        <v xml:space="preserve"> 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outlinePr summaryBelow="0" summaryRight="0"/>
  </sheetPr>
  <dimension ref="A1:B1000"/>
  <sheetViews>
    <sheetView workbookViewId="0"/>
  </sheetViews>
  <sheetFormatPr defaultColWidth="14.42578125" defaultRowHeight="15.75" customHeight="1"/>
  <cols>
    <col min="1" max="1" width="22.5703125" customWidth="1"/>
    <col min="2" max="2" width="93.42578125" customWidth="1"/>
  </cols>
  <sheetData>
    <row r="1" spans="1:2" ht="15.75" customHeight="1">
      <c r="A1" s="315"/>
      <c r="B1" s="213" t="s">
        <v>3915</v>
      </c>
    </row>
    <row r="2" spans="1:2" ht="15.75" customHeight="1">
      <c r="A2" s="316"/>
      <c r="B2" s="210" t="s">
        <v>3917</v>
      </c>
    </row>
    <row r="3" spans="1:2" ht="15.75" customHeight="1">
      <c r="A3" s="315"/>
      <c r="B3" s="213" t="s">
        <v>3918</v>
      </c>
    </row>
    <row r="4" spans="1:2" ht="15.75" customHeight="1">
      <c r="A4" s="315"/>
      <c r="B4" s="213" t="s">
        <v>3920</v>
      </c>
    </row>
    <row r="5" spans="1:2" ht="15.75" customHeight="1">
      <c r="A5" s="315"/>
    </row>
    <row r="6" spans="1:2" ht="15.75" customHeight="1">
      <c r="A6" s="315"/>
    </row>
    <row r="7" spans="1:2" ht="15.75" customHeight="1">
      <c r="A7" s="315"/>
    </row>
    <row r="8" spans="1:2" ht="15.75" customHeight="1">
      <c r="A8" s="315"/>
    </row>
    <row r="9" spans="1:2" ht="15.75" customHeight="1">
      <c r="A9" s="315"/>
    </row>
    <row r="10" spans="1:2" ht="15.75" customHeight="1">
      <c r="A10" s="315"/>
    </row>
    <row r="11" spans="1:2" ht="15.75" customHeight="1">
      <c r="A11" s="315"/>
    </row>
    <row r="12" spans="1:2" ht="15.75" customHeight="1">
      <c r="A12" s="315"/>
    </row>
    <row r="13" spans="1:2" ht="15.75" customHeight="1">
      <c r="A13" s="315"/>
    </row>
    <row r="14" spans="1:2" ht="15.75" customHeight="1">
      <c r="A14" s="315"/>
    </row>
    <row r="15" spans="1:2" ht="15.75" customHeight="1">
      <c r="A15" s="315"/>
    </row>
    <row r="16" spans="1:2" ht="15.75" customHeight="1">
      <c r="A16" s="315"/>
    </row>
    <row r="17" spans="1:1" ht="15.75" customHeight="1">
      <c r="A17" s="315"/>
    </row>
    <row r="18" spans="1:1" ht="15.75" customHeight="1">
      <c r="A18" s="315"/>
    </row>
    <row r="19" spans="1:1" ht="15.75" customHeight="1">
      <c r="A19" s="315"/>
    </row>
    <row r="20" spans="1:1" ht="15.75" customHeight="1">
      <c r="A20" s="315"/>
    </row>
    <row r="21" spans="1:1" ht="15.75" customHeight="1">
      <c r="A21" s="315"/>
    </row>
    <row r="22" spans="1:1" ht="15.75" customHeight="1">
      <c r="A22" s="315"/>
    </row>
    <row r="23" spans="1:1" ht="15.75" customHeight="1">
      <c r="A23" s="315"/>
    </row>
    <row r="24" spans="1:1" ht="15.75" customHeight="1">
      <c r="A24" s="315"/>
    </row>
    <row r="25" spans="1:1" ht="15.75" customHeight="1">
      <c r="A25" s="315"/>
    </row>
    <row r="26" spans="1:1" ht="15.75" customHeight="1">
      <c r="A26" s="315"/>
    </row>
    <row r="27" spans="1:1" ht="15.75" customHeight="1">
      <c r="A27" s="315"/>
    </row>
    <row r="28" spans="1:1" ht="15.75" customHeight="1">
      <c r="A28" s="315"/>
    </row>
    <row r="29" spans="1:1" ht="15.75" customHeight="1">
      <c r="A29" s="315"/>
    </row>
    <row r="30" spans="1:1" ht="12.75">
      <c r="A30" s="315"/>
    </row>
    <row r="31" spans="1:1" ht="12.75">
      <c r="A31" s="315"/>
    </row>
    <row r="32" spans="1:1" ht="12.75">
      <c r="A32" s="315"/>
    </row>
    <row r="33" spans="1:1" ht="12.75">
      <c r="A33" s="315"/>
    </row>
    <row r="34" spans="1:1" ht="12.75">
      <c r="A34" s="315"/>
    </row>
    <row r="35" spans="1:1" ht="12.75">
      <c r="A35" s="315"/>
    </row>
    <row r="36" spans="1:1" ht="12.75">
      <c r="A36" s="315"/>
    </row>
    <row r="37" spans="1:1" ht="12.75">
      <c r="A37" s="315"/>
    </row>
    <row r="38" spans="1:1" ht="12.75">
      <c r="A38" s="315"/>
    </row>
    <row r="39" spans="1:1" ht="12.75">
      <c r="A39" s="315"/>
    </row>
    <row r="40" spans="1:1" ht="12.75">
      <c r="A40" s="315"/>
    </row>
    <row r="41" spans="1:1" ht="12.75">
      <c r="A41" s="315"/>
    </row>
    <row r="42" spans="1:1" ht="12.75">
      <c r="A42" s="315"/>
    </row>
    <row r="43" spans="1:1" ht="12.75">
      <c r="A43" s="315"/>
    </row>
    <row r="44" spans="1:1" ht="12.75">
      <c r="A44" s="315"/>
    </row>
    <row r="45" spans="1:1" ht="12.75">
      <c r="A45" s="315"/>
    </row>
    <row r="46" spans="1:1" ht="12.75">
      <c r="A46" s="315"/>
    </row>
    <row r="47" spans="1:1" ht="12.75">
      <c r="A47" s="315"/>
    </row>
    <row r="48" spans="1:1" ht="12.75">
      <c r="A48" s="315"/>
    </row>
    <row r="49" spans="1:1" ht="12.75">
      <c r="A49" s="315"/>
    </row>
    <row r="50" spans="1:1" ht="12.75">
      <c r="A50" s="315"/>
    </row>
    <row r="51" spans="1:1" ht="12.75">
      <c r="A51" s="315"/>
    </row>
    <row r="52" spans="1:1" ht="12.75">
      <c r="A52" s="315"/>
    </row>
    <row r="53" spans="1:1" ht="12.75">
      <c r="A53" s="315"/>
    </row>
    <row r="54" spans="1:1" ht="12.75">
      <c r="A54" s="315"/>
    </row>
    <row r="55" spans="1:1" ht="12.75">
      <c r="A55" s="315"/>
    </row>
    <row r="56" spans="1:1" ht="12.75">
      <c r="A56" s="315"/>
    </row>
    <row r="57" spans="1:1" ht="12.75">
      <c r="A57" s="315"/>
    </row>
    <row r="58" spans="1:1" ht="12.75">
      <c r="A58" s="315"/>
    </row>
    <row r="59" spans="1:1" ht="12.75">
      <c r="A59" s="315"/>
    </row>
    <row r="60" spans="1:1" ht="12.75">
      <c r="A60" s="315"/>
    </row>
    <row r="61" spans="1:1" ht="12.75">
      <c r="A61" s="315"/>
    </row>
    <row r="62" spans="1:1" ht="12.75">
      <c r="A62" s="315"/>
    </row>
    <row r="63" spans="1:1" ht="12.75">
      <c r="A63" s="315"/>
    </row>
    <row r="64" spans="1:1" ht="12.75">
      <c r="A64" s="315"/>
    </row>
    <row r="65" spans="1:1" ht="12.75">
      <c r="A65" s="315"/>
    </row>
    <row r="66" spans="1:1" ht="12.75">
      <c r="A66" s="315"/>
    </row>
    <row r="67" spans="1:1" ht="12.75">
      <c r="A67" s="315"/>
    </row>
    <row r="68" spans="1:1" ht="12.75">
      <c r="A68" s="315"/>
    </row>
    <row r="69" spans="1:1" ht="12.75">
      <c r="A69" s="315"/>
    </row>
    <row r="70" spans="1:1" ht="12.75">
      <c r="A70" s="315"/>
    </row>
    <row r="71" spans="1:1" ht="12.75">
      <c r="A71" s="315"/>
    </row>
    <row r="72" spans="1:1" ht="12.75">
      <c r="A72" s="315"/>
    </row>
    <row r="73" spans="1:1" ht="12.75">
      <c r="A73" s="315"/>
    </row>
    <row r="74" spans="1:1" ht="12.75">
      <c r="A74" s="315"/>
    </row>
    <row r="75" spans="1:1" ht="12.75">
      <c r="A75" s="315"/>
    </row>
    <row r="76" spans="1:1" ht="12.75">
      <c r="A76" s="315"/>
    </row>
    <row r="77" spans="1:1" ht="12.75">
      <c r="A77" s="315"/>
    </row>
    <row r="78" spans="1:1" ht="12.75">
      <c r="A78" s="315"/>
    </row>
    <row r="79" spans="1:1" ht="12.75">
      <c r="A79" s="315"/>
    </row>
    <row r="80" spans="1:1" ht="12.75">
      <c r="A80" s="315"/>
    </row>
    <row r="81" spans="1:1" ht="12.75">
      <c r="A81" s="315"/>
    </row>
    <row r="82" spans="1:1" ht="12.75">
      <c r="A82" s="315"/>
    </row>
    <row r="83" spans="1:1" ht="12.75">
      <c r="A83" s="315"/>
    </row>
    <row r="84" spans="1:1" ht="12.75">
      <c r="A84" s="315"/>
    </row>
    <row r="85" spans="1:1" ht="12.75">
      <c r="A85" s="315"/>
    </row>
    <row r="86" spans="1:1" ht="12.75">
      <c r="A86" s="315"/>
    </row>
    <row r="87" spans="1:1" ht="12.75">
      <c r="A87" s="315"/>
    </row>
    <row r="88" spans="1:1" ht="12.75">
      <c r="A88" s="315"/>
    </row>
    <row r="89" spans="1:1" ht="12.75">
      <c r="A89" s="315"/>
    </row>
    <row r="90" spans="1:1" ht="12.75">
      <c r="A90" s="315"/>
    </row>
    <row r="91" spans="1:1" ht="12.75">
      <c r="A91" s="315"/>
    </row>
    <row r="92" spans="1:1" ht="12.75">
      <c r="A92" s="315"/>
    </row>
    <row r="93" spans="1:1" ht="12.75">
      <c r="A93" s="315"/>
    </row>
    <row r="94" spans="1:1" ht="12.75">
      <c r="A94" s="315"/>
    </row>
    <row r="95" spans="1:1" ht="12.75">
      <c r="A95" s="315"/>
    </row>
    <row r="96" spans="1:1" ht="12.75">
      <c r="A96" s="315"/>
    </row>
    <row r="97" spans="1:1" ht="12.75">
      <c r="A97" s="315"/>
    </row>
    <row r="98" spans="1:1" ht="12.75">
      <c r="A98" s="315"/>
    </row>
    <row r="99" spans="1:1" ht="12.75">
      <c r="A99" s="315"/>
    </row>
    <row r="100" spans="1:1" ht="12.75">
      <c r="A100" s="315"/>
    </row>
    <row r="101" spans="1:1" ht="12.75">
      <c r="A101" s="315"/>
    </row>
    <row r="102" spans="1:1" ht="12.75">
      <c r="A102" s="315"/>
    </row>
    <row r="103" spans="1:1" ht="12.75">
      <c r="A103" s="315"/>
    </row>
    <row r="104" spans="1:1" ht="12.75">
      <c r="A104" s="315"/>
    </row>
    <row r="105" spans="1:1" ht="12.75">
      <c r="A105" s="315"/>
    </row>
    <row r="106" spans="1:1" ht="12.75">
      <c r="A106" s="315"/>
    </row>
    <row r="107" spans="1:1" ht="12.75">
      <c r="A107" s="315"/>
    </row>
    <row r="108" spans="1:1" ht="12.75">
      <c r="A108" s="315"/>
    </row>
    <row r="109" spans="1:1" ht="12.75">
      <c r="A109" s="315"/>
    </row>
    <row r="110" spans="1:1" ht="12.75">
      <c r="A110" s="315"/>
    </row>
    <row r="111" spans="1:1" ht="12.75">
      <c r="A111" s="315"/>
    </row>
    <row r="112" spans="1:1" ht="12.75">
      <c r="A112" s="315"/>
    </row>
    <row r="113" spans="1:1" ht="12.75">
      <c r="A113" s="315"/>
    </row>
    <row r="114" spans="1:1" ht="12.75">
      <c r="A114" s="315"/>
    </row>
    <row r="115" spans="1:1" ht="12.75">
      <c r="A115" s="315"/>
    </row>
    <row r="116" spans="1:1" ht="12.75">
      <c r="A116" s="315"/>
    </row>
    <row r="117" spans="1:1" ht="12.75">
      <c r="A117" s="315"/>
    </row>
    <row r="118" spans="1:1" ht="12.75">
      <c r="A118" s="315"/>
    </row>
    <row r="119" spans="1:1" ht="12.75">
      <c r="A119" s="315"/>
    </row>
    <row r="120" spans="1:1" ht="12.75">
      <c r="A120" s="315"/>
    </row>
    <row r="121" spans="1:1" ht="12.75">
      <c r="A121" s="315"/>
    </row>
    <row r="122" spans="1:1" ht="12.75">
      <c r="A122" s="315"/>
    </row>
    <row r="123" spans="1:1" ht="12.75">
      <c r="A123" s="315"/>
    </row>
    <row r="124" spans="1:1" ht="12.75">
      <c r="A124" s="315"/>
    </row>
    <row r="125" spans="1:1" ht="12.75">
      <c r="A125" s="315"/>
    </row>
    <row r="126" spans="1:1" ht="12.75">
      <c r="A126" s="315"/>
    </row>
    <row r="127" spans="1:1" ht="12.75">
      <c r="A127" s="315"/>
    </row>
    <row r="128" spans="1:1" ht="12.75">
      <c r="A128" s="315"/>
    </row>
    <row r="129" spans="1:1" ht="12.75">
      <c r="A129" s="315"/>
    </row>
    <row r="130" spans="1:1" ht="12.75">
      <c r="A130" s="315"/>
    </row>
    <row r="131" spans="1:1" ht="12.75">
      <c r="A131" s="315"/>
    </row>
    <row r="132" spans="1:1" ht="12.75">
      <c r="A132" s="315"/>
    </row>
    <row r="133" spans="1:1" ht="12.75">
      <c r="A133" s="315"/>
    </row>
    <row r="134" spans="1:1" ht="12.75">
      <c r="A134" s="315"/>
    </row>
    <row r="135" spans="1:1" ht="12.75">
      <c r="A135" s="315"/>
    </row>
    <row r="136" spans="1:1" ht="12.75">
      <c r="A136" s="315"/>
    </row>
    <row r="137" spans="1:1" ht="12.75">
      <c r="A137" s="315"/>
    </row>
    <row r="138" spans="1:1" ht="12.75">
      <c r="A138" s="315"/>
    </row>
    <row r="139" spans="1:1" ht="12.75">
      <c r="A139" s="315"/>
    </row>
    <row r="140" spans="1:1" ht="12.75">
      <c r="A140" s="315"/>
    </row>
    <row r="141" spans="1:1" ht="12.75">
      <c r="A141" s="315"/>
    </row>
    <row r="142" spans="1:1" ht="12.75">
      <c r="A142" s="315"/>
    </row>
    <row r="143" spans="1:1" ht="12.75">
      <c r="A143" s="315"/>
    </row>
    <row r="144" spans="1:1" ht="12.75">
      <c r="A144" s="315"/>
    </row>
    <row r="145" spans="1:1" ht="12.75">
      <c r="A145" s="315"/>
    </row>
    <row r="146" spans="1:1" ht="12.75">
      <c r="A146" s="315"/>
    </row>
    <row r="147" spans="1:1" ht="12.75">
      <c r="A147" s="315"/>
    </row>
    <row r="148" spans="1:1" ht="12.75">
      <c r="A148" s="315"/>
    </row>
    <row r="149" spans="1:1" ht="12.75">
      <c r="A149" s="315"/>
    </row>
    <row r="150" spans="1:1" ht="12.75">
      <c r="A150" s="315"/>
    </row>
    <row r="151" spans="1:1" ht="12.75">
      <c r="A151" s="315"/>
    </row>
    <row r="152" spans="1:1" ht="12.75">
      <c r="A152" s="315"/>
    </row>
    <row r="153" spans="1:1" ht="12.75">
      <c r="A153" s="315"/>
    </row>
    <row r="154" spans="1:1" ht="12.75">
      <c r="A154" s="315"/>
    </row>
    <row r="155" spans="1:1" ht="12.75">
      <c r="A155" s="315"/>
    </row>
    <row r="156" spans="1:1" ht="12.75">
      <c r="A156" s="315"/>
    </row>
    <row r="157" spans="1:1" ht="12.75">
      <c r="A157" s="315"/>
    </row>
    <row r="158" spans="1:1" ht="12.75">
      <c r="A158" s="315"/>
    </row>
    <row r="159" spans="1:1" ht="12.75">
      <c r="A159" s="315"/>
    </row>
    <row r="160" spans="1:1" ht="12.75">
      <c r="A160" s="315"/>
    </row>
    <row r="161" spans="1:1" ht="12.75">
      <c r="A161" s="315"/>
    </row>
    <row r="162" spans="1:1" ht="12.75">
      <c r="A162" s="315"/>
    </row>
    <row r="163" spans="1:1" ht="12.75">
      <c r="A163" s="315"/>
    </row>
    <row r="164" spans="1:1" ht="12.75">
      <c r="A164" s="315"/>
    </row>
    <row r="165" spans="1:1" ht="12.75">
      <c r="A165" s="315"/>
    </row>
    <row r="166" spans="1:1" ht="12.75">
      <c r="A166" s="315"/>
    </row>
    <row r="167" spans="1:1" ht="12.75">
      <c r="A167" s="315"/>
    </row>
    <row r="168" spans="1:1" ht="12.75">
      <c r="A168" s="315"/>
    </row>
    <row r="169" spans="1:1" ht="12.75">
      <c r="A169" s="315"/>
    </row>
    <row r="170" spans="1:1" ht="12.75">
      <c r="A170" s="315"/>
    </row>
    <row r="171" spans="1:1" ht="12.75">
      <c r="A171" s="315"/>
    </row>
    <row r="172" spans="1:1" ht="12.75">
      <c r="A172" s="315"/>
    </row>
    <row r="173" spans="1:1" ht="12.75">
      <c r="A173" s="315"/>
    </row>
    <row r="174" spans="1:1" ht="12.75">
      <c r="A174" s="315"/>
    </row>
    <row r="175" spans="1:1" ht="12.75">
      <c r="A175" s="315"/>
    </row>
    <row r="176" spans="1:1" ht="12.75">
      <c r="A176" s="315"/>
    </row>
    <row r="177" spans="1:1" ht="12.75">
      <c r="A177" s="315"/>
    </row>
    <row r="178" spans="1:1" ht="12.75">
      <c r="A178" s="315"/>
    </row>
    <row r="179" spans="1:1" ht="12.75">
      <c r="A179" s="315"/>
    </row>
    <row r="180" spans="1:1" ht="12.75">
      <c r="A180" s="315"/>
    </row>
    <row r="181" spans="1:1" ht="12.75">
      <c r="A181" s="315"/>
    </row>
    <row r="182" spans="1:1" ht="12.75">
      <c r="A182" s="315"/>
    </row>
    <row r="183" spans="1:1" ht="12.75">
      <c r="A183" s="315"/>
    </row>
    <row r="184" spans="1:1" ht="12.75">
      <c r="A184" s="315"/>
    </row>
    <row r="185" spans="1:1" ht="12.75">
      <c r="A185" s="315"/>
    </row>
    <row r="186" spans="1:1" ht="12.75">
      <c r="A186" s="315"/>
    </row>
    <row r="187" spans="1:1" ht="12.75">
      <c r="A187" s="315"/>
    </row>
    <row r="188" spans="1:1" ht="12.75">
      <c r="A188" s="315"/>
    </row>
    <row r="189" spans="1:1" ht="12.75">
      <c r="A189" s="315"/>
    </row>
    <row r="190" spans="1:1" ht="12.75">
      <c r="A190" s="315"/>
    </row>
    <row r="191" spans="1:1" ht="12.75">
      <c r="A191" s="315"/>
    </row>
    <row r="192" spans="1:1" ht="12.75">
      <c r="A192" s="315"/>
    </row>
    <row r="193" spans="1:1" ht="12.75">
      <c r="A193" s="315"/>
    </row>
    <row r="194" spans="1:1" ht="12.75">
      <c r="A194" s="315"/>
    </row>
    <row r="195" spans="1:1" ht="12.75">
      <c r="A195" s="315"/>
    </row>
    <row r="196" spans="1:1" ht="12.75">
      <c r="A196" s="315"/>
    </row>
    <row r="197" spans="1:1" ht="12.75">
      <c r="A197" s="315"/>
    </row>
    <row r="198" spans="1:1" ht="12.75">
      <c r="A198" s="315"/>
    </row>
    <row r="199" spans="1:1" ht="12.75">
      <c r="A199" s="315"/>
    </row>
    <row r="200" spans="1:1" ht="12.75">
      <c r="A200" s="315"/>
    </row>
    <row r="201" spans="1:1" ht="12.75">
      <c r="A201" s="315"/>
    </row>
    <row r="202" spans="1:1" ht="12.75">
      <c r="A202" s="315"/>
    </row>
    <row r="203" spans="1:1" ht="12.75">
      <c r="A203" s="315"/>
    </row>
    <row r="204" spans="1:1" ht="12.75">
      <c r="A204" s="315"/>
    </row>
    <row r="205" spans="1:1" ht="12.75">
      <c r="A205" s="315"/>
    </row>
    <row r="206" spans="1:1" ht="12.75">
      <c r="A206" s="315"/>
    </row>
    <row r="207" spans="1:1" ht="12.75">
      <c r="A207" s="315"/>
    </row>
    <row r="208" spans="1:1" ht="12.75">
      <c r="A208" s="315"/>
    </row>
    <row r="209" spans="1:1" ht="12.75">
      <c r="A209" s="315"/>
    </row>
    <row r="210" spans="1:1" ht="12.75">
      <c r="A210" s="315"/>
    </row>
    <row r="211" spans="1:1" ht="12.75">
      <c r="A211" s="315"/>
    </row>
    <row r="212" spans="1:1" ht="12.75">
      <c r="A212" s="315"/>
    </row>
    <row r="213" spans="1:1" ht="12.75">
      <c r="A213" s="315"/>
    </row>
    <row r="214" spans="1:1" ht="12.75">
      <c r="A214" s="315"/>
    </row>
    <row r="215" spans="1:1" ht="12.75">
      <c r="A215" s="315"/>
    </row>
    <row r="216" spans="1:1" ht="12.75">
      <c r="A216" s="315"/>
    </row>
    <row r="217" spans="1:1" ht="12.75">
      <c r="A217" s="315"/>
    </row>
    <row r="218" spans="1:1" ht="12.75">
      <c r="A218" s="315"/>
    </row>
    <row r="219" spans="1:1" ht="12.75">
      <c r="A219" s="315"/>
    </row>
    <row r="220" spans="1:1" ht="12.75">
      <c r="A220" s="315"/>
    </row>
    <row r="221" spans="1:1" ht="12.75">
      <c r="A221" s="315"/>
    </row>
    <row r="222" spans="1:1" ht="12.75">
      <c r="A222" s="315"/>
    </row>
    <row r="223" spans="1:1" ht="12.75">
      <c r="A223" s="315"/>
    </row>
    <row r="224" spans="1:1" ht="12.75">
      <c r="A224" s="315"/>
    </row>
    <row r="225" spans="1:1" ht="12.75">
      <c r="A225" s="315"/>
    </row>
    <row r="226" spans="1:1" ht="12.75">
      <c r="A226" s="315"/>
    </row>
    <row r="227" spans="1:1" ht="12.75">
      <c r="A227" s="315"/>
    </row>
    <row r="228" spans="1:1" ht="12.75">
      <c r="A228" s="315"/>
    </row>
    <row r="229" spans="1:1" ht="12.75">
      <c r="A229" s="315"/>
    </row>
    <row r="230" spans="1:1" ht="12.75">
      <c r="A230" s="315"/>
    </row>
    <row r="231" spans="1:1" ht="12.75">
      <c r="A231" s="315"/>
    </row>
    <row r="232" spans="1:1" ht="12.75">
      <c r="A232" s="315"/>
    </row>
    <row r="233" spans="1:1" ht="12.75">
      <c r="A233" s="315"/>
    </row>
    <row r="234" spans="1:1" ht="12.75">
      <c r="A234" s="315"/>
    </row>
    <row r="235" spans="1:1" ht="12.75">
      <c r="A235" s="315"/>
    </row>
    <row r="236" spans="1:1" ht="12.75">
      <c r="A236" s="315"/>
    </row>
    <row r="237" spans="1:1" ht="12.75">
      <c r="A237" s="315"/>
    </row>
    <row r="238" spans="1:1" ht="12.75">
      <c r="A238" s="315"/>
    </row>
    <row r="239" spans="1:1" ht="12.75">
      <c r="A239" s="315"/>
    </row>
    <row r="240" spans="1:1" ht="12.75">
      <c r="A240" s="315"/>
    </row>
    <row r="241" spans="1:1" ht="12.75">
      <c r="A241" s="315"/>
    </row>
    <row r="242" spans="1:1" ht="12.75">
      <c r="A242" s="315"/>
    </row>
    <row r="243" spans="1:1" ht="12.75">
      <c r="A243" s="315"/>
    </row>
    <row r="244" spans="1:1" ht="12.75">
      <c r="A244" s="315"/>
    </row>
    <row r="245" spans="1:1" ht="12.75">
      <c r="A245" s="315"/>
    </row>
    <row r="246" spans="1:1" ht="12.75">
      <c r="A246" s="315"/>
    </row>
    <row r="247" spans="1:1" ht="12.75">
      <c r="A247" s="315"/>
    </row>
    <row r="248" spans="1:1" ht="12.75">
      <c r="A248" s="315"/>
    </row>
    <row r="249" spans="1:1" ht="12.75">
      <c r="A249" s="315"/>
    </row>
    <row r="250" spans="1:1" ht="12.75">
      <c r="A250" s="315"/>
    </row>
    <row r="251" spans="1:1" ht="12.75">
      <c r="A251" s="315"/>
    </row>
    <row r="252" spans="1:1" ht="12.75">
      <c r="A252" s="315"/>
    </row>
    <row r="253" spans="1:1" ht="12.75">
      <c r="A253" s="315"/>
    </row>
    <row r="254" spans="1:1" ht="12.75">
      <c r="A254" s="315"/>
    </row>
    <row r="255" spans="1:1" ht="12.75">
      <c r="A255" s="315"/>
    </row>
    <row r="256" spans="1:1" ht="12.75">
      <c r="A256" s="315"/>
    </row>
    <row r="257" spans="1:1" ht="12.75">
      <c r="A257" s="315"/>
    </row>
    <row r="258" spans="1:1" ht="12.75">
      <c r="A258" s="315"/>
    </row>
    <row r="259" spans="1:1" ht="12.75">
      <c r="A259" s="315"/>
    </row>
    <row r="260" spans="1:1" ht="12.75">
      <c r="A260" s="315"/>
    </row>
    <row r="261" spans="1:1" ht="12.75">
      <c r="A261" s="315"/>
    </row>
    <row r="262" spans="1:1" ht="12.75">
      <c r="A262" s="315"/>
    </row>
    <row r="263" spans="1:1" ht="12.75">
      <c r="A263" s="315"/>
    </row>
    <row r="264" spans="1:1" ht="12.75">
      <c r="A264" s="315"/>
    </row>
    <row r="265" spans="1:1" ht="12.75">
      <c r="A265" s="315"/>
    </row>
    <row r="266" spans="1:1" ht="12.75">
      <c r="A266" s="315"/>
    </row>
    <row r="267" spans="1:1" ht="12.75">
      <c r="A267" s="315"/>
    </row>
    <row r="268" spans="1:1" ht="12.75">
      <c r="A268" s="315"/>
    </row>
    <row r="269" spans="1:1" ht="12.75">
      <c r="A269" s="315"/>
    </row>
    <row r="270" spans="1:1" ht="12.75">
      <c r="A270" s="315"/>
    </row>
    <row r="271" spans="1:1" ht="12.75">
      <c r="A271" s="315"/>
    </row>
    <row r="272" spans="1:1" ht="12.75">
      <c r="A272" s="315"/>
    </row>
    <row r="273" spans="1:1" ht="12.75">
      <c r="A273" s="315"/>
    </row>
    <row r="274" spans="1:1" ht="12.75">
      <c r="A274" s="315"/>
    </row>
    <row r="275" spans="1:1" ht="12.75">
      <c r="A275" s="315"/>
    </row>
    <row r="276" spans="1:1" ht="12.75">
      <c r="A276" s="315"/>
    </row>
    <row r="277" spans="1:1" ht="12.75">
      <c r="A277" s="315"/>
    </row>
    <row r="278" spans="1:1" ht="12.75">
      <c r="A278" s="315"/>
    </row>
    <row r="279" spans="1:1" ht="12.75">
      <c r="A279" s="315"/>
    </row>
    <row r="280" spans="1:1" ht="12.75">
      <c r="A280" s="315"/>
    </row>
    <row r="281" spans="1:1" ht="12.75">
      <c r="A281" s="315"/>
    </row>
    <row r="282" spans="1:1" ht="12.75">
      <c r="A282" s="315"/>
    </row>
    <row r="283" spans="1:1" ht="12.75">
      <c r="A283" s="315"/>
    </row>
    <row r="284" spans="1:1" ht="12.75">
      <c r="A284" s="315"/>
    </row>
    <row r="285" spans="1:1" ht="12.75">
      <c r="A285" s="315"/>
    </row>
    <row r="286" spans="1:1" ht="12.75">
      <c r="A286" s="315"/>
    </row>
    <row r="287" spans="1:1" ht="12.75">
      <c r="A287" s="315"/>
    </row>
    <row r="288" spans="1:1" ht="12.75">
      <c r="A288" s="315"/>
    </row>
    <row r="289" spans="1:1" ht="12.75">
      <c r="A289" s="315"/>
    </row>
    <row r="290" spans="1:1" ht="12.75">
      <c r="A290" s="315"/>
    </row>
    <row r="291" spans="1:1" ht="12.75">
      <c r="A291" s="315"/>
    </row>
    <row r="292" spans="1:1" ht="12.75">
      <c r="A292" s="315"/>
    </row>
    <row r="293" spans="1:1" ht="12.75">
      <c r="A293" s="315"/>
    </row>
    <row r="294" spans="1:1" ht="12.75">
      <c r="A294" s="315"/>
    </row>
    <row r="295" spans="1:1" ht="12.75">
      <c r="A295" s="315"/>
    </row>
    <row r="296" spans="1:1" ht="12.75">
      <c r="A296" s="315"/>
    </row>
    <row r="297" spans="1:1" ht="12.75">
      <c r="A297" s="315"/>
    </row>
    <row r="298" spans="1:1" ht="12.75">
      <c r="A298" s="315"/>
    </row>
    <row r="299" spans="1:1" ht="12.75">
      <c r="A299" s="315"/>
    </row>
    <row r="300" spans="1:1" ht="12.75">
      <c r="A300" s="315"/>
    </row>
    <row r="301" spans="1:1" ht="12.75">
      <c r="A301" s="315"/>
    </row>
    <row r="302" spans="1:1" ht="12.75">
      <c r="A302" s="315"/>
    </row>
    <row r="303" spans="1:1" ht="12.75">
      <c r="A303" s="315"/>
    </row>
    <row r="304" spans="1:1" ht="12.75">
      <c r="A304" s="315"/>
    </row>
    <row r="305" spans="1:1" ht="12.75">
      <c r="A305" s="315"/>
    </row>
    <row r="306" spans="1:1" ht="12.75">
      <c r="A306" s="315"/>
    </row>
    <row r="307" spans="1:1" ht="12.75">
      <c r="A307" s="315"/>
    </row>
    <row r="308" spans="1:1" ht="12.75">
      <c r="A308" s="315"/>
    </row>
    <row r="309" spans="1:1" ht="12.75">
      <c r="A309" s="315"/>
    </row>
    <row r="310" spans="1:1" ht="12.75">
      <c r="A310" s="315"/>
    </row>
    <row r="311" spans="1:1" ht="12.75">
      <c r="A311" s="315"/>
    </row>
    <row r="312" spans="1:1" ht="12.75">
      <c r="A312" s="315"/>
    </row>
    <row r="313" spans="1:1" ht="12.75">
      <c r="A313" s="315"/>
    </row>
    <row r="314" spans="1:1" ht="12.75">
      <c r="A314" s="315"/>
    </row>
    <row r="315" spans="1:1" ht="12.75">
      <c r="A315" s="315"/>
    </row>
    <row r="316" spans="1:1" ht="12.75">
      <c r="A316" s="315"/>
    </row>
    <row r="317" spans="1:1" ht="12.75">
      <c r="A317" s="315"/>
    </row>
    <row r="318" spans="1:1" ht="12.75">
      <c r="A318" s="315"/>
    </row>
    <row r="319" spans="1:1" ht="12.75">
      <c r="A319" s="315"/>
    </row>
    <row r="320" spans="1:1" ht="12.75">
      <c r="A320" s="315"/>
    </row>
    <row r="321" spans="1:1" ht="12.75">
      <c r="A321" s="315"/>
    </row>
    <row r="322" spans="1:1" ht="12.75">
      <c r="A322" s="315"/>
    </row>
    <row r="323" spans="1:1" ht="12.75">
      <c r="A323" s="315"/>
    </row>
    <row r="324" spans="1:1" ht="12.75">
      <c r="A324" s="315"/>
    </row>
    <row r="325" spans="1:1" ht="12.75">
      <c r="A325" s="315"/>
    </row>
    <row r="326" spans="1:1" ht="12.75">
      <c r="A326" s="315"/>
    </row>
    <row r="327" spans="1:1" ht="12.75">
      <c r="A327" s="315"/>
    </row>
    <row r="328" spans="1:1" ht="12.75">
      <c r="A328" s="315"/>
    </row>
    <row r="329" spans="1:1" ht="12.75">
      <c r="A329" s="315"/>
    </row>
    <row r="330" spans="1:1" ht="12.75">
      <c r="A330" s="315"/>
    </row>
    <row r="331" spans="1:1" ht="12.75">
      <c r="A331" s="315"/>
    </row>
    <row r="332" spans="1:1" ht="12.75">
      <c r="A332" s="315"/>
    </row>
    <row r="333" spans="1:1" ht="12.75">
      <c r="A333" s="315"/>
    </row>
    <row r="334" spans="1:1" ht="12.75">
      <c r="A334" s="315"/>
    </row>
    <row r="335" spans="1:1" ht="12.75">
      <c r="A335" s="315"/>
    </row>
    <row r="336" spans="1:1" ht="12.75">
      <c r="A336" s="315"/>
    </row>
    <row r="337" spans="1:1" ht="12.75">
      <c r="A337" s="315"/>
    </row>
    <row r="338" spans="1:1" ht="12.75">
      <c r="A338" s="315"/>
    </row>
    <row r="339" spans="1:1" ht="12.75">
      <c r="A339" s="315"/>
    </row>
    <row r="340" spans="1:1" ht="12.75">
      <c r="A340" s="315"/>
    </row>
    <row r="341" spans="1:1" ht="12.75">
      <c r="A341" s="315"/>
    </row>
    <row r="342" spans="1:1" ht="12.75">
      <c r="A342" s="315"/>
    </row>
    <row r="343" spans="1:1" ht="12.75">
      <c r="A343" s="315"/>
    </row>
    <row r="344" spans="1:1" ht="12.75">
      <c r="A344" s="315"/>
    </row>
    <row r="345" spans="1:1" ht="12.75">
      <c r="A345" s="315"/>
    </row>
    <row r="346" spans="1:1" ht="12.75">
      <c r="A346" s="315"/>
    </row>
    <row r="347" spans="1:1" ht="12.75">
      <c r="A347" s="315"/>
    </row>
    <row r="348" spans="1:1" ht="12.75">
      <c r="A348" s="315"/>
    </row>
    <row r="349" spans="1:1" ht="12.75">
      <c r="A349" s="315"/>
    </row>
    <row r="350" spans="1:1" ht="12.75">
      <c r="A350" s="315"/>
    </row>
    <row r="351" spans="1:1" ht="12.75">
      <c r="A351" s="315"/>
    </row>
    <row r="352" spans="1:1" ht="12.75">
      <c r="A352" s="315"/>
    </row>
    <row r="353" spans="1:1" ht="12.75">
      <c r="A353" s="315"/>
    </row>
    <row r="354" spans="1:1" ht="12.75">
      <c r="A354" s="315"/>
    </row>
    <row r="355" spans="1:1" ht="12.75">
      <c r="A355" s="315"/>
    </row>
    <row r="356" spans="1:1" ht="12.75">
      <c r="A356" s="315"/>
    </row>
    <row r="357" spans="1:1" ht="12.75">
      <c r="A357" s="315"/>
    </row>
    <row r="358" spans="1:1" ht="12.75">
      <c r="A358" s="315"/>
    </row>
    <row r="359" spans="1:1" ht="12.75">
      <c r="A359" s="315"/>
    </row>
    <row r="360" spans="1:1" ht="12.75">
      <c r="A360" s="315"/>
    </row>
    <row r="361" spans="1:1" ht="12.75">
      <c r="A361" s="315"/>
    </row>
    <row r="362" spans="1:1" ht="12.75">
      <c r="A362" s="315"/>
    </row>
    <row r="363" spans="1:1" ht="12.75">
      <c r="A363" s="315"/>
    </row>
    <row r="364" spans="1:1" ht="12.75">
      <c r="A364" s="315"/>
    </row>
    <row r="365" spans="1:1" ht="12.75">
      <c r="A365" s="315"/>
    </row>
    <row r="366" spans="1:1" ht="12.75">
      <c r="A366" s="315"/>
    </row>
    <row r="367" spans="1:1" ht="12.75">
      <c r="A367" s="315"/>
    </row>
    <row r="368" spans="1:1" ht="12.75">
      <c r="A368" s="315"/>
    </row>
    <row r="369" spans="1:1" ht="12.75">
      <c r="A369" s="315"/>
    </row>
    <row r="370" spans="1:1" ht="12.75">
      <c r="A370" s="315"/>
    </row>
    <row r="371" spans="1:1" ht="12.75">
      <c r="A371" s="315"/>
    </row>
    <row r="372" spans="1:1" ht="12.75">
      <c r="A372" s="315"/>
    </row>
    <row r="373" spans="1:1" ht="12.75">
      <c r="A373" s="315"/>
    </row>
    <row r="374" spans="1:1" ht="12.75">
      <c r="A374" s="315"/>
    </row>
    <row r="375" spans="1:1" ht="12.75">
      <c r="A375" s="315"/>
    </row>
    <row r="376" spans="1:1" ht="12.75">
      <c r="A376" s="315"/>
    </row>
    <row r="377" spans="1:1" ht="12.75">
      <c r="A377" s="315"/>
    </row>
    <row r="378" spans="1:1" ht="12.75">
      <c r="A378" s="315"/>
    </row>
    <row r="379" spans="1:1" ht="12.75">
      <c r="A379" s="315"/>
    </row>
    <row r="380" spans="1:1" ht="12.75">
      <c r="A380" s="315"/>
    </row>
    <row r="381" spans="1:1" ht="12.75">
      <c r="A381" s="315"/>
    </row>
    <row r="382" spans="1:1" ht="12.75">
      <c r="A382" s="315"/>
    </row>
    <row r="383" spans="1:1" ht="12.75">
      <c r="A383" s="315"/>
    </row>
    <row r="384" spans="1:1" ht="12.75">
      <c r="A384" s="315"/>
    </row>
    <row r="385" spans="1:1" ht="12.75">
      <c r="A385" s="315"/>
    </row>
    <row r="386" spans="1:1" ht="12.75">
      <c r="A386" s="315"/>
    </row>
    <row r="387" spans="1:1" ht="12.75">
      <c r="A387" s="315"/>
    </row>
    <row r="388" spans="1:1" ht="12.75">
      <c r="A388" s="315"/>
    </row>
    <row r="389" spans="1:1" ht="12.75">
      <c r="A389" s="315"/>
    </row>
    <row r="390" spans="1:1" ht="12.75">
      <c r="A390" s="315"/>
    </row>
    <row r="391" spans="1:1" ht="12.75">
      <c r="A391" s="315"/>
    </row>
    <row r="392" spans="1:1" ht="12.75">
      <c r="A392" s="315"/>
    </row>
    <row r="393" spans="1:1" ht="12.75">
      <c r="A393" s="315"/>
    </row>
    <row r="394" spans="1:1" ht="12.75">
      <c r="A394" s="315"/>
    </row>
    <row r="395" spans="1:1" ht="12.75">
      <c r="A395" s="315"/>
    </row>
    <row r="396" spans="1:1" ht="12.75">
      <c r="A396" s="315"/>
    </row>
    <row r="397" spans="1:1" ht="12.75">
      <c r="A397" s="315"/>
    </row>
    <row r="398" spans="1:1" ht="12.75">
      <c r="A398" s="315"/>
    </row>
    <row r="399" spans="1:1" ht="12.75">
      <c r="A399" s="315"/>
    </row>
    <row r="400" spans="1:1" ht="12.75">
      <c r="A400" s="315"/>
    </row>
    <row r="401" spans="1:1" ht="12.75">
      <c r="A401" s="315"/>
    </row>
    <row r="402" spans="1:1" ht="12.75">
      <c r="A402" s="315"/>
    </row>
    <row r="403" spans="1:1" ht="12.75">
      <c r="A403" s="315"/>
    </row>
    <row r="404" spans="1:1" ht="12.75">
      <c r="A404" s="315"/>
    </row>
    <row r="405" spans="1:1" ht="12.75">
      <c r="A405" s="315"/>
    </row>
    <row r="406" spans="1:1" ht="12.75">
      <c r="A406" s="315"/>
    </row>
    <row r="407" spans="1:1" ht="12.75">
      <c r="A407" s="315"/>
    </row>
    <row r="408" spans="1:1" ht="12.75">
      <c r="A408" s="315"/>
    </row>
    <row r="409" spans="1:1" ht="12.75">
      <c r="A409" s="315"/>
    </row>
    <row r="410" spans="1:1" ht="12.75">
      <c r="A410" s="315"/>
    </row>
    <row r="411" spans="1:1" ht="12.75">
      <c r="A411" s="315"/>
    </row>
    <row r="412" spans="1:1" ht="12.75">
      <c r="A412" s="315"/>
    </row>
    <row r="413" spans="1:1" ht="12.75">
      <c r="A413" s="315"/>
    </row>
    <row r="414" spans="1:1" ht="12.75">
      <c r="A414" s="315"/>
    </row>
    <row r="415" spans="1:1" ht="12.75">
      <c r="A415" s="315"/>
    </row>
    <row r="416" spans="1:1" ht="12.75">
      <c r="A416" s="315"/>
    </row>
    <row r="417" spans="1:1" ht="12.75">
      <c r="A417" s="315"/>
    </row>
    <row r="418" spans="1:1" ht="12.75">
      <c r="A418" s="315"/>
    </row>
    <row r="419" spans="1:1" ht="12.75">
      <c r="A419" s="315"/>
    </row>
    <row r="420" spans="1:1" ht="12.75">
      <c r="A420" s="315"/>
    </row>
    <row r="421" spans="1:1" ht="12.75">
      <c r="A421" s="315"/>
    </row>
    <row r="422" spans="1:1" ht="12.75">
      <c r="A422" s="315"/>
    </row>
    <row r="423" spans="1:1" ht="12.75">
      <c r="A423" s="315"/>
    </row>
    <row r="424" spans="1:1" ht="12.75">
      <c r="A424" s="315"/>
    </row>
    <row r="425" spans="1:1" ht="12.75">
      <c r="A425" s="315"/>
    </row>
    <row r="426" spans="1:1" ht="12.75">
      <c r="A426" s="315"/>
    </row>
    <row r="427" spans="1:1" ht="12.75">
      <c r="A427" s="315"/>
    </row>
    <row r="428" spans="1:1" ht="12.75">
      <c r="A428" s="315"/>
    </row>
    <row r="429" spans="1:1" ht="12.75">
      <c r="A429" s="315"/>
    </row>
    <row r="430" spans="1:1" ht="12.75">
      <c r="A430" s="315"/>
    </row>
    <row r="431" spans="1:1" ht="12.75">
      <c r="A431" s="315"/>
    </row>
    <row r="432" spans="1:1" ht="12.75">
      <c r="A432" s="315"/>
    </row>
    <row r="433" spans="1:1" ht="12.75">
      <c r="A433" s="315"/>
    </row>
    <row r="434" spans="1:1" ht="12.75">
      <c r="A434" s="315"/>
    </row>
    <row r="435" spans="1:1" ht="12.75">
      <c r="A435" s="315"/>
    </row>
    <row r="436" spans="1:1" ht="12.75">
      <c r="A436" s="315"/>
    </row>
    <row r="437" spans="1:1" ht="12.75">
      <c r="A437" s="315"/>
    </row>
    <row r="438" spans="1:1" ht="12.75">
      <c r="A438" s="315"/>
    </row>
    <row r="439" spans="1:1" ht="12.75">
      <c r="A439" s="315"/>
    </row>
    <row r="440" spans="1:1" ht="12.75">
      <c r="A440" s="315"/>
    </row>
    <row r="441" spans="1:1" ht="12.75">
      <c r="A441" s="315"/>
    </row>
    <row r="442" spans="1:1" ht="12.75">
      <c r="A442" s="315"/>
    </row>
    <row r="443" spans="1:1" ht="12.75">
      <c r="A443" s="315"/>
    </row>
    <row r="444" spans="1:1" ht="12.75">
      <c r="A444" s="315"/>
    </row>
    <row r="445" spans="1:1" ht="12.75">
      <c r="A445" s="315"/>
    </row>
    <row r="446" spans="1:1" ht="12.75">
      <c r="A446" s="315"/>
    </row>
    <row r="447" spans="1:1" ht="12.75">
      <c r="A447" s="315"/>
    </row>
    <row r="448" spans="1:1" ht="12.75">
      <c r="A448" s="315"/>
    </row>
    <row r="449" spans="1:1" ht="12.75">
      <c r="A449" s="315"/>
    </row>
    <row r="450" spans="1:1" ht="12.75">
      <c r="A450" s="315"/>
    </row>
    <row r="451" spans="1:1" ht="12.75">
      <c r="A451" s="315"/>
    </row>
    <row r="452" spans="1:1" ht="12.75">
      <c r="A452" s="315"/>
    </row>
    <row r="453" spans="1:1" ht="12.75">
      <c r="A453" s="315"/>
    </row>
    <row r="454" spans="1:1" ht="12.75">
      <c r="A454" s="315"/>
    </row>
    <row r="455" spans="1:1" ht="12.75">
      <c r="A455" s="315"/>
    </row>
    <row r="456" spans="1:1" ht="12.75">
      <c r="A456" s="315"/>
    </row>
    <row r="457" spans="1:1" ht="12.75">
      <c r="A457" s="315"/>
    </row>
    <row r="458" spans="1:1" ht="12.75">
      <c r="A458" s="315"/>
    </row>
    <row r="459" spans="1:1" ht="12.75">
      <c r="A459" s="315"/>
    </row>
    <row r="460" spans="1:1" ht="12.75">
      <c r="A460" s="315"/>
    </row>
    <row r="461" spans="1:1" ht="12.75">
      <c r="A461" s="315"/>
    </row>
    <row r="462" spans="1:1" ht="12.75">
      <c r="A462" s="315"/>
    </row>
    <row r="463" spans="1:1" ht="12.75">
      <c r="A463" s="315"/>
    </row>
    <row r="464" spans="1:1" ht="12.75">
      <c r="A464" s="315"/>
    </row>
    <row r="465" spans="1:1" ht="12.75">
      <c r="A465" s="315"/>
    </row>
    <row r="466" spans="1:1" ht="12.75">
      <c r="A466" s="315"/>
    </row>
    <row r="467" spans="1:1" ht="12.75">
      <c r="A467" s="315"/>
    </row>
    <row r="468" spans="1:1" ht="12.75">
      <c r="A468" s="315"/>
    </row>
    <row r="469" spans="1:1" ht="12.75">
      <c r="A469" s="315"/>
    </row>
    <row r="470" spans="1:1" ht="12.75">
      <c r="A470" s="315"/>
    </row>
    <row r="471" spans="1:1" ht="12.75">
      <c r="A471" s="315"/>
    </row>
    <row r="472" spans="1:1" ht="12.75">
      <c r="A472" s="315"/>
    </row>
    <row r="473" spans="1:1" ht="12.75">
      <c r="A473" s="315"/>
    </row>
    <row r="474" spans="1:1" ht="12.75">
      <c r="A474" s="315"/>
    </row>
    <row r="475" spans="1:1" ht="12.75">
      <c r="A475" s="315"/>
    </row>
    <row r="476" spans="1:1" ht="12.75">
      <c r="A476" s="315"/>
    </row>
    <row r="477" spans="1:1" ht="12.75">
      <c r="A477" s="315"/>
    </row>
    <row r="478" spans="1:1" ht="12.75">
      <c r="A478" s="315"/>
    </row>
    <row r="479" spans="1:1" ht="12.75">
      <c r="A479" s="315"/>
    </row>
    <row r="480" spans="1:1" ht="12.75">
      <c r="A480" s="315"/>
    </row>
    <row r="481" spans="1:1" ht="12.75">
      <c r="A481" s="315"/>
    </row>
    <row r="482" spans="1:1" ht="12.75">
      <c r="A482" s="315"/>
    </row>
    <row r="483" spans="1:1" ht="12.75">
      <c r="A483" s="315"/>
    </row>
    <row r="484" spans="1:1" ht="12.75">
      <c r="A484" s="315"/>
    </row>
    <row r="485" spans="1:1" ht="12.75">
      <c r="A485" s="315"/>
    </row>
    <row r="486" spans="1:1" ht="12.75">
      <c r="A486" s="315"/>
    </row>
    <row r="487" spans="1:1" ht="12.75">
      <c r="A487" s="315"/>
    </row>
    <row r="488" spans="1:1" ht="12.75">
      <c r="A488" s="315"/>
    </row>
    <row r="489" spans="1:1" ht="12.75">
      <c r="A489" s="315"/>
    </row>
    <row r="490" spans="1:1" ht="12.75">
      <c r="A490" s="315"/>
    </row>
    <row r="491" spans="1:1" ht="12.75">
      <c r="A491" s="315"/>
    </row>
    <row r="492" spans="1:1" ht="12.75">
      <c r="A492" s="315"/>
    </row>
    <row r="493" spans="1:1" ht="12.75">
      <c r="A493" s="315"/>
    </row>
    <row r="494" spans="1:1" ht="12.75">
      <c r="A494" s="315"/>
    </row>
    <row r="495" spans="1:1" ht="12.75">
      <c r="A495" s="315"/>
    </row>
    <row r="496" spans="1:1" ht="12.75">
      <c r="A496" s="315"/>
    </row>
    <row r="497" spans="1:1" ht="12.75">
      <c r="A497" s="315"/>
    </row>
    <row r="498" spans="1:1" ht="12.75">
      <c r="A498" s="315"/>
    </row>
    <row r="499" spans="1:1" ht="12.75">
      <c r="A499" s="315"/>
    </row>
    <row r="500" spans="1:1" ht="12.75">
      <c r="A500" s="315"/>
    </row>
    <row r="501" spans="1:1" ht="12.75">
      <c r="A501" s="315"/>
    </row>
    <row r="502" spans="1:1" ht="12.75">
      <c r="A502" s="315"/>
    </row>
    <row r="503" spans="1:1" ht="12.75">
      <c r="A503" s="315"/>
    </row>
    <row r="504" spans="1:1" ht="12.75">
      <c r="A504" s="315"/>
    </row>
    <row r="505" spans="1:1" ht="12.75">
      <c r="A505" s="315"/>
    </row>
    <row r="506" spans="1:1" ht="12.75">
      <c r="A506" s="315"/>
    </row>
    <row r="507" spans="1:1" ht="12.75">
      <c r="A507" s="315"/>
    </row>
    <row r="508" spans="1:1" ht="12.75">
      <c r="A508" s="315"/>
    </row>
    <row r="509" spans="1:1" ht="12.75">
      <c r="A509" s="315"/>
    </row>
    <row r="510" spans="1:1" ht="12.75">
      <c r="A510" s="315"/>
    </row>
    <row r="511" spans="1:1" ht="12.75">
      <c r="A511" s="315"/>
    </row>
    <row r="512" spans="1:1" ht="12.75">
      <c r="A512" s="315"/>
    </row>
    <row r="513" spans="1:1" ht="12.75">
      <c r="A513" s="315"/>
    </row>
    <row r="514" spans="1:1" ht="12.75">
      <c r="A514" s="315"/>
    </row>
    <row r="515" spans="1:1" ht="12.75">
      <c r="A515" s="315"/>
    </row>
    <row r="516" spans="1:1" ht="12.75">
      <c r="A516" s="315"/>
    </row>
    <row r="517" spans="1:1" ht="12.75">
      <c r="A517" s="315"/>
    </row>
    <row r="518" spans="1:1" ht="12.75">
      <c r="A518" s="315"/>
    </row>
    <row r="519" spans="1:1" ht="12.75">
      <c r="A519" s="315"/>
    </row>
    <row r="520" spans="1:1" ht="12.75">
      <c r="A520" s="315"/>
    </row>
    <row r="521" spans="1:1" ht="12.75">
      <c r="A521" s="315"/>
    </row>
    <row r="522" spans="1:1" ht="12.75">
      <c r="A522" s="315"/>
    </row>
    <row r="523" spans="1:1" ht="12.75">
      <c r="A523" s="315"/>
    </row>
    <row r="524" spans="1:1" ht="12.75">
      <c r="A524" s="315"/>
    </row>
    <row r="525" spans="1:1" ht="12.75">
      <c r="A525" s="315"/>
    </row>
    <row r="526" spans="1:1" ht="12.75">
      <c r="A526" s="315"/>
    </row>
    <row r="527" spans="1:1" ht="12.75">
      <c r="A527" s="315"/>
    </row>
    <row r="528" spans="1:1" ht="12.75">
      <c r="A528" s="315"/>
    </row>
    <row r="529" spans="1:1" ht="12.75">
      <c r="A529" s="315"/>
    </row>
    <row r="530" spans="1:1" ht="12.75">
      <c r="A530" s="315"/>
    </row>
    <row r="531" spans="1:1" ht="12.75">
      <c r="A531" s="315"/>
    </row>
    <row r="532" spans="1:1" ht="12.75">
      <c r="A532" s="315"/>
    </row>
    <row r="533" spans="1:1" ht="12.75">
      <c r="A533" s="315"/>
    </row>
    <row r="534" spans="1:1" ht="12.75">
      <c r="A534" s="315"/>
    </row>
    <row r="535" spans="1:1" ht="12.75">
      <c r="A535" s="315"/>
    </row>
    <row r="536" spans="1:1" ht="12.75">
      <c r="A536" s="315"/>
    </row>
    <row r="537" spans="1:1" ht="12.75">
      <c r="A537" s="315"/>
    </row>
    <row r="538" spans="1:1" ht="12.75">
      <c r="A538" s="315"/>
    </row>
    <row r="539" spans="1:1" ht="12.75">
      <c r="A539" s="315"/>
    </row>
    <row r="540" spans="1:1" ht="12.75">
      <c r="A540" s="315"/>
    </row>
    <row r="541" spans="1:1" ht="12.75">
      <c r="A541" s="315"/>
    </row>
    <row r="542" spans="1:1" ht="12.75">
      <c r="A542" s="315"/>
    </row>
    <row r="543" spans="1:1" ht="12.75">
      <c r="A543" s="315"/>
    </row>
    <row r="544" spans="1:1" ht="12.75">
      <c r="A544" s="315"/>
    </row>
    <row r="545" spans="1:1" ht="12.75">
      <c r="A545" s="315"/>
    </row>
    <row r="546" spans="1:1" ht="12.75">
      <c r="A546" s="315"/>
    </row>
    <row r="547" spans="1:1" ht="12.75">
      <c r="A547" s="315"/>
    </row>
    <row r="548" spans="1:1" ht="12.75">
      <c r="A548" s="315"/>
    </row>
    <row r="549" spans="1:1" ht="12.75">
      <c r="A549" s="315"/>
    </row>
    <row r="550" spans="1:1" ht="12.75">
      <c r="A550" s="315"/>
    </row>
    <row r="551" spans="1:1" ht="12.75">
      <c r="A551" s="315"/>
    </row>
    <row r="552" spans="1:1" ht="12.75">
      <c r="A552" s="315"/>
    </row>
    <row r="553" spans="1:1" ht="12.75">
      <c r="A553" s="315"/>
    </row>
    <row r="554" spans="1:1" ht="12.75">
      <c r="A554" s="315"/>
    </row>
    <row r="555" spans="1:1" ht="12.75">
      <c r="A555" s="315"/>
    </row>
    <row r="556" spans="1:1" ht="12.75">
      <c r="A556" s="315"/>
    </row>
    <row r="557" spans="1:1" ht="12.75">
      <c r="A557" s="315"/>
    </row>
    <row r="558" spans="1:1" ht="12.75">
      <c r="A558" s="315"/>
    </row>
    <row r="559" spans="1:1" ht="12.75">
      <c r="A559" s="315"/>
    </row>
    <row r="560" spans="1:1" ht="12.75">
      <c r="A560" s="315"/>
    </row>
    <row r="561" spans="1:1" ht="12.75">
      <c r="A561" s="315"/>
    </row>
    <row r="562" spans="1:1" ht="12.75">
      <c r="A562" s="315"/>
    </row>
    <row r="563" spans="1:1" ht="12.75">
      <c r="A563" s="315"/>
    </row>
    <row r="564" spans="1:1" ht="12.75">
      <c r="A564" s="315"/>
    </row>
    <row r="565" spans="1:1" ht="12.75">
      <c r="A565" s="315"/>
    </row>
    <row r="566" spans="1:1" ht="12.75">
      <c r="A566" s="315"/>
    </row>
    <row r="567" spans="1:1" ht="12.75">
      <c r="A567" s="315"/>
    </row>
    <row r="568" spans="1:1" ht="12.75">
      <c r="A568" s="315"/>
    </row>
    <row r="569" spans="1:1" ht="12.75">
      <c r="A569" s="315"/>
    </row>
    <row r="570" spans="1:1" ht="12.75">
      <c r="A570" s="315"/>
    </row>
    <row r="571" spans="1:1" ht="12.75">
      <c r="A571" s="315"/>
    </row>
    <row r="572" spans="1:1" ht="12.75">
      <c r="A572" s="315"/>
    </row>
    <row r="573" spans="1:1" ht="12.75">
      <c r="A573" s="315"/>
    </row>
    <row r="574" spans="1:1" ht="12.75">
      <c r="A574" s="315"/>
    </row>
    <row r="575" spans="1:1" ht="12.75">
      <c r="A575" s="315"/>
    </row>
    <row r="576" spans="1:1" ht="12.75">
      <c r="A576" s="315"/>
    </row>
    <row r="577" spans="1:1" ht="12.75">
      <c r="A577" s="315"/>
    </row>
    <row r="578" spans="1:1" ht="12.75">
      <c r="A578" s="315"/>
    </row>
    <row r="579" spans="1:1" ht="12.75">
      <c r="A579" s="315"/>
    </row>
    <row r="580" spans="1:1" ht="12.75">
      <c r="A580" s="315"/>
    </row>
    <row r="581" spans="1:1" ht="12.75">
      <c r="A581" s="315"/>
    </row>
    <row r="582" spans="1:1" ht="12.75">
      <c r="A582" s="315"/>
    </row>
    <row r="583" spans="1:1" ht="12.75">
      <c r="A583" s="315"/>
    </row>
    <row r="584" spans="1:1" ht="12.75">
      <c r="A584" s="315"/>
    </row>
    <row r="585" spans="1:1" ht="12.75">
      <c r="A585" s="315"/>
    </row>
    <row r="586" spans="1:1" ht="12.75">
      <c r="A586" s="315"/>
    </row>
    <row r="587" spans="1:1" ht="12.75">
      <c r="A587" s="315"/>
    </row>
    <row r="588" spans="1:1" ht="12.75">
      <c r="A588" s="315"/>
    </row>
    <row r="589" spans="1:1" ht="12.75">
      <c r="A589" s="315"/>
    </row>
    <row r="590" spans="1:1" ht="12.75">
      <c r="A590" s="315"/>
    </row>
    <row r="591" spans="1:1" ht="12.75">
      <c r="A591" s="315"/>
    </row>
    <row r="592" spans="1:1" ht="12.75">
      <c r="A592" s="315"/>
    </row>
    <row r="593" spans="1:1" ht="12.75">
      <c r="A593" s="315"/>
    </row>
    <row r="594" spans="1:1" ht="12.75">
      <c r="A594" s="315"/>
    </row>
    <row r="595" spans="1:1" ht="12.75">
      <c r="A595" s="315"/>
    </row>
    <row r="596" spans="1:1" ht="12.75">
      <c r="A596" s="315"/>
    </row>
    <row r="597" spans="1:1" ht="12.75">
      <c r="A597" s="315"/>
    </row>
    <row r="598" spans="1:1" ht="12.75">
      <c r="A598" s="315"/>
    </row>
    <row r="599" spans="1:1" ht="12.75">
      <c r="A599" s="315"/>
    </row>
    <row r="600" spans="1:1" ht="12.75">
      <c r="A600" s="315"/>
    </row>
    <row r="601" spans="1:1" ht="12.75">
      <c r="A601" s="315"/>
    </row>
    <row r="602" spans="1:1" ht="12.75">
      <c r="A602" s="315"/>
    </row>
    <row r="603" spans="1:1" ht="12.75">
      <c r="A603" s="315"/>
    </row>
    <row r="604" spans="1:1" ht="12.75">
      <c r="A604" s="315"/>
    </row>
    <row r="605" spans="1:1" ht="12.75">
      <c r="A605" s="315"/>
    </row>
    <row r="606" spans="1:1" ht="12.75">
      <c r="A606" s="315"/>
    </row>
    <row r="607" spans="1:1" ht="12.75">
      <c r="A607" s="315"/>
    </row>
    <row r="608" spans="1:1" ht="12.75">
      <c r="A608" s="315"/>
    </row>
    <row r="609" spans="1:1" ht="12.75">
      <c r="A609" s="315"/>
    </row>
    <row r="610" spans="1:1" ht="12.75">
      <c r="A610" s="315"/>
    </row>
    <row r="611" spans="1:1" ht="12.75">
      <c r="A611" s="315"/>
    </row>
    <row r="612" spans="1:1" ht="12.75">
      <c r="A612" s="315"/>
    </row>
    <row r="613" spans="1:1" ht="12.75">
      <c r="A613" s="315"/>
    </row>
    <row r="614" spans="1:1" ht="12.75">
      <c r="A614" s="315"/>
    </row>
    <row r="615" spans="1:1" ht="12.75">
      <c r="A615" s="315"/>
    </row>
    <row r="616" spans="1:1" ht="12.75">
      <c r="A616" s="315"/>
    </row>
    <row r="617" spans="1:1" ht="12.75">
      <c r="A617" s="315"/>
    </row>
    <row r="618" spans="1:1" ht="12.75">
      <c r="A618" s="315"/>
    </row>
    <row r="619" spans="1:1" ht="12.75">
      <c r="A619" s="315"/>
    </row>
    <row r="620" spans="1:1" ht="12.75">
      <c r="A620" s="315"/>
    </row>
    <row r="621" spans="1:1" ht="12.75">
      <c r="A621" s="315"/>
    </row>
    <row r="622" spans="1:1" ht="12.75">
      <c r="A622" s="315"/>
    </row>
    <row r="623" spans="1:1" ht="12.75">
      <c r="A623" s="315"/>
    </row>
    <row r="624" spans="1:1" ht="12.75">
      <c r="A624" s="315"/>
    </row>
    <row r="625" spans="1:1" ht="12.75">
      <c r="A625" s="315"/>
    </row>
    <row r="626" spans="1:1" ht="12.75">
      <c r="A626" s="315"/>
    </row>
    <row r="627" spans="1:1" ht="12.75">
      <c r="A627" s="315"/>
    </row>
    <row r="628" spans="1:1" ht="12.75">
      <c r="A628" s="315"/>
    </row>
    <row r="629" spans="1:1" ht="12.75">
      <c r="A629" s="315"/>
    </row>
    <row r="630" spans="1:1" ht="12.75">
      <c r="A630" s="315"/>
    </row>
    <row r="631" spans="1:1" ht="12.75">
      <c r="A631" s="315"/>
    </row>
    <row r="632" spans="1:1" ht="12.75">
      <c r="A632" s="315"/>
    </row>
    <row r="633" spans="1:1" ht="12.75">
      <c r="A633" s="315"/>
    </row>
    <row r="634" spans="1:1" ht="12.75">
      <c r="A634" s="315"/>
    </row>
    <row r="635" spans="1:1" ht="12.75">
      <c r="A635" s="315"/>
    </row>
    <row r="636" spans="1:1" ht="12.75">
      <c r="A636" s="315"/>
    </row>
    <row r="637" spans="1:1" ht="12.75">
      <c r="A637" s="315"/>
    </row>
    <row r="638" spans="1:1" ht="12.75">
      <c r="A638" s="315"/>
    </row>
    <row r="639" spans="1:1" ht="12.75">
      <c r="A639" s="315"/>
    </row>
    <row r="640" spans="1:1" ht="12.75">
      <c r="A640" s="315"/>
    </row>
    <row r="641" spans="1:1" ht="12.75">
      <c r="A641" s="315"/>
    </row>
    <row r="642" spans="1:1" ht="12.75">
      <c r="A642" s="315"/>
    </row>
    <row r="643" spans="1:1" ht="12.75">
      <c r="A643" s="315"/>
    </row>
    <row r="644" spans="1:1" ht="12.75">
      <c r="A644" s="315"/>
    </row>
    <row r="645" spans="1:1" ht="12.75">
      <c r="A645" s="315"/>
    </row>
    <row r="646" spans="1:1" ht="12.75">
      <c r="A646" s="315"/>
    </row>
    <row r="647" spans="1:1" ht="12.75">
      <c r="A647" s="315"/>
    </row>
    <row r="648" spans="1:1" ht="12.75">
      <c r="A648" s="315"/>
    </row>
    <row r="649" spans="1:1" ht="12.75">
      <c r="A649" s="315"/>
    </row>
    <row r="650" spans="1:1" ht="12.75">
      <c r="A650" s="315"/>
    </row>
    <row r="651" spans="1:1" ht="12.75">
      <c r="A651" s="315"/>
    </row>
    <row r="652" spans="1:1" ht="12.75">
      <c r="A652" s="315"/>
    </row>
    <row r="653" spans="1:1" ht="12.75">
      <c r="A653" s="315"/>
    </row>
    <row r="654" spans="1:1" ht="12.75">
      <c r="A654" s="315"/>
    </row>
    <row r="655" spans="1:1" ht="12.75">
      <c r="A655" s="315"/>
    </row>
    <row r="656" spans="1:1" ht="12.75">
      <c r="A656" s="315"/>
    </row>
    <row r="657" spans="1:1" ht="12.75">
      <c r="A657" s="315"/>
    </row>
    <row r="658" spans="1:1" ht="12.75">
      <c r="A658" s="315"/>
    </row>
    <row r="659" spans="1:1" ht="12.75">
      <c r="A659" s="315"/>
    </row>
    <row r="660" spans="1:1" ht="12.75">
      <c r="A660" s="315"/>
    </row>
    <row r="661" spans="1:1" ht="12.75">
      <c r="A661" s="315"/>
    </row>
    <row r="662" spans="1:1" ht="12.75">
      <c r="A662" s="315"/>
    </row>
    <row r="663" spans="1:1" ht="12.75">
      <c r="A663" s="315"/>
    </row>
    <row r="664" spans="1:1" ht="12.75">
      <c r="A664" s="315"/>
    </row>
    <row r="665" spans="1:1" ht="12.75">
      <c r="A665" s="315"/>
    </row>
    <row r="666" spans="1:1" ht="12.75">
      <c r="A666" s="315"/>
    </row>
    <row r="667" spans="1:1" ht="12.75">
      <c r="A667" s="315"/>
    </row>
    <row r="668" spans="1:1" ht="12.75">
      <c r="A668" s="315"/>
    </row>
    <row r="669" spans="1:1" ht="12.75">
      <c r="A669" s="315"/>
    </row>
    <row r="670" spans="1:1" ht="12.75">
      <c r="A670" s="315"/>
    </row>
    <row r="671" spans="1:1" ht="12.75">
      <c r="A671" s="315"/>
    </row>
    <row r="672" spans="1:1" ht="12.75">
      <c r="A672" s="315"/>
    </row>
    <row r="673" spans="1:1" ht="12.75">
      <c r="A673" s="315"/>
    </row>
    <row r="674" spans="1:1" ht="12.75">
      <c r="A674" s="315"/>
    </row>
    <row r="675" spans="1:1" ht="12.75">
      <c r="A675" s="315"/>
    </row>
    <row r="676" spans="1:1" ht="12.75">
      <c r="A676" s="315"/>
    </row>
    <row r="677" spans="1:1" ht="12.75">
      <c r="A677" s="315"/>
    </row>
    <row r="678" spans="1:1" ht="12.75">
      <c r="A678" s="315"/>
    </row>
    <row r="679" spans="1:1" ht="12.75">
      <c r="A679" s="315"/>
    </row>
    <row r="680" spans="1:1" ht="12.75">
      <c r="A680" s="315"/>
    </row>
    <row r="681" spans="1:1" ht="12.75">
      <c r="A681" s="315"/>
    </row>
    <row r="682" spans="1:1" ht="12.75">
      <c r="A682" s="315"/>
    </row>
    <row r="683" spans="1:1" ht="12.75">
      <c r="A683" s="315"/>
    </row>
    <row r="684" spans="1:1" ht="12.75">
      <c r="A684" s="315"/>
    </row>
    <row r="685" spans="1:1" ht="12.75">
      <c r="A685" s="315"/>
    </row>
    <row r="686" spans="1:1" ht="12.75">
      <c r="A686" s="315"/>
    </row>
    <row r="687" spans="1:1" ht="12.75">
      <c r="A687" s="315"/>
    </row>
    <row r="688" spans="1:1" ht="12.75">
      <c r="A688" s="315"/>
    </row>
    <row r="689" spans="1:1" ht="12.75">
      <c r="A689" s="315"/>
    </row>
    <row r="690" spans="1:1" ht="12.75">
      <c r="A690" s="315"/>
    </row>
    <row r="691" spans="1:1" ht="12.75">
      <c r="A691" s="315"/>
    </row>
    <row r="692" spans="1:1" ht="12.75">
      <c r="A692" s="315"/>
    </row>
    <row r="693" spans="1:1" ht="12.75">
      <c r="A693" s="315"/>
    </row>
    <row r="694" spans="1:1" ht="12.75">
      <c r="A694" s="315"/>
    </row>
    <row r="695" spans="1:1" ht="12.75">
      <c r="A695" s="315"/>
    </row>
    <row r="696" spans="1:1" ht="12.75">
      <c r="A696" s="315"/>
    </row>
    <row r="697" spans="1:1" ht="12.75">
      <c r="A697" s="315"/>
    </row>
    <row r="698" spans="1:1" ht="12.75">
      <c r="A698" s="315"/>
    </row>
    <row r="699" spans="1:1" ht="12.75">
      <c r="A699" s="315"/>
    </row>
    <row r="700" spans="1:1" ht="12.75">
      <c r="A700" s="315"/>
    </row>
    <row r="701" spans="1:1" ht="12.75">
      <c r="A701" s="315"/>
    </row>
    <row r="702" spans="1:1" ht="12.75">
      <c r="A702" s="315"/>
    </row>
    <row r="703" spans="1:1" ht="12.75">
      <c r="A703" s="315"/>
    </row>
    <row r="704" spans="1:1" ht="12.75">
      <c r="A704" s="315"/>
    </row>
    <row r="705" spans="1:1" ht="12.75">
      <c r="A705" s="315"/>
    </row>
    <row r="706" spans="1:1" ht="12.75">
      <c r="A706" s="315"/>
    </row>
    <row r="707" spans="1:1" ht="12.75">
      <c r="A707" s="315"/>
    </row>
    <row r="708" spans="1:1" ht="12.75">
      <c r="A708" s="315"/>
    </row>
    <row r="709" spans="1:1" ht="12.75">
      <c r="A709" s="315"/>
    </row>
    <row r="710" spans="1:1" ht="12.75">
      <c r="A710" s="315"/>
    </row>
    <row r="711" spans="1:1" ht="12.75">
      <c r="A711" s="315"/>
    </row>
    <row r="712" spans="1:1" ht="12.75">
      <c r="A712" s="315"/>
    </row>
    <row r="713" spans="1:1" ht="12.75">
      <c r="A713" s="315"/>
    </row>
    <row r="714" spans="1:1" ht="12.75">
      <c r="A714" s="315"/>
    </row>
    <row r="715" spans="1:1" ht="12.75">
      <c r="A715" s="315"/>
    </row>
    <row r="716" spans="1:1" ht="12.75">
      <c r="A716" s="315"/>
    </row>
    <row r="717" spans="1:1" ht="12.75">
      <c r="A717" s="315"/>
    </row>
    <row r="718" spans="1:1" ht="12.75">
      <c r="A718" s="315"/>
    </row>
    <row r="719" spans="1:1" ht="12.75">
      <c r="A719" s="315"/>
    </row>
    <row r="720" spans="1:1" ht="12.75">
      <c r="A720" s="315"/>
    </row>
    <row r="721" spans="1:1" ht="12.75">
      <c r="A721" s="315"/>
    </row>
    <row r="722" spans="1:1" ht="12.75">
      <c r="A722" s="315"/>
    </row>
    <row r="723" spans="1:1" ht="12.75">
      <c r="A723" s="315"/>
    </row>
    <row r="724" spans="1:1" ht="12.75">
      <c r="A724" s="315"/>
    </row>
    <row r="725" spans="1:1" ht="12.75">
      <c r="A725" s="315"/>
    </row>
    <row r="726" spans="1:1" ht="12.75">
      <c r="A726" s="315"/>
    </row>
    <row r="727" spans="1:1" ht="12.75">
      <c r="A727" s="315"/>
    </row>
    <row r="728" spans="1:1" ht="12.75">
      <c r="A728" s="315"/>
    </row>
    <row r="729" spans="1:1" ht="12.75">
      <c r="A729" s="315"/>
    </row>
    <row r="730" spans="1:1" ht="12.75">
      <c r="A730" s="315"/>
    </row>
    <row r="731" spans="1:1" ht="12.75">
      <c r="A731" s="315"/>
    </row>
    <row r="732" spans="1:1" ht="12.75">
      <c r="A732" s="315"/>
    </row>
    <row r="733" spans="1:1" ht="12.75">
      <c r="A733" s="315"/>
    </row>
    <row r="734" spans="1:1" ht="12.75">
      <c r="A734" s="315"/>
    </row>
    <row r="735" spans="1:1" ht="12.75">
      <c r="A735" s="315"/>
    </row>
    <row r="736" spans="1:1" ht="12.75">
      <c r="A736" s="315"/>
    </row>
    <row r="737" spans="1:1" ht="12.75">
      <c r="A737" s="315"/>
    </row>
    <row r="738" spans="1:1" ht="12.75">
      <c r="A738" s="315"/>
    </row>
    <row r="739" spans="1:1" ht="12.75">
      <c r="A739" s="315"/>
    </row>
    <row r="740" spans="1:1" ht="12.75">
      <c r="A740" s="315"/>
    </row>
    <row r="741" spans="1:1" ht="12.75">
      <c r="A741" s="315"/>
    </row>
    <row r="742" spans="1:1" ht="12.75">
      <c r="A742" s="315"/>
    </row>
    <row r="743" spans="1:1" ht="12.75">
      <c r="A743" s="315"/>
    </row>
    <row r="744" spans="1:1" ht="12.75">
      <c r="A744" s="315"/>
    </row>
    <row r="745" spans="1:1" ht="12.75">
      <c r="A745" s="315"/>
    </row>
    <row r="746" spans="1:1" ht="12.75">
      <c r="A746" s="315"/>
    </row>
    <row r="747" spans="1:1" ht="12.75">
      <c r="A747" s="315"/>
    </row>
    <row r="748" spans="1:1" ht="12.75">
      <c r="A748" s="315"/>
    </row>
    <row r="749" spans="1:1" ht="12.75">
      <c r="A749" s="315"/>
    </row>
    <row r="750" spans="1:1" ht="12.75">
      <c r="A750" s="315"/>
    </row>
    <row r="751" spans="1:1" ht="12.75">
      <c r="A751" s="315"/>
    </row>
    <row r="752" spans="1:1" ht="12.75">
      <c r="A752" s="315"/>
    </row>
    <row r="753" spans="1:1" ht="12.75">
      <c r="A753" s="315"/>
    </row>
    <row r="754" spans="1:1" ht="12.75">
      <c r="A754" s="315"/>
    </row>
    <row r="755" spans="1:1" ht="12.75">
      <c r="A755" s="315"/>
    </row>
    <row r="756" spans="1:1" ht="12.75">
      <c r="A756" s="315"/>
    </row>
    <row r="757" spans="1:1" ht="12.75">
      <c r="A757" s="315"/>
    </row>
    <row r="758" spans="1:1" ht="12.75">
      <c r="A758" s="315"/>
    </row>
    <row r="759" spans="1:1" ht="12.75">
      <c r="A759" s="315"/>
    </row>
    <row r="760" spans="1:1" ht="12.75">
      <c r="A760" s="315"/>
    </row>
    <row r="761" spans="1:1" ht="12.75">
      <c r="A761" s="315"/>
    </row>
    <row r="762" spans="1:1" ht="12.75">
      <c r="A762" s="315"/>
    </row>
    <row r="763" spans="1:1" ht="12.75">
      <c r="A763" s="315"/>
    </row>
    <row r="764" spans="1:1" ht="12.75">
      <c r="A764" s="315"/>
    </row>
    <row r="765" spans="1:1" ht="12.75">
      <c r="A765" s="315"/>
    </row>
    <row r="766" spans="1:1" ht="12.75">
      <c r="A766" s="315"/>
    </row>
    <row r="767" spans="1:1" ht="12.75">
      <c r="A767" s="315"/>
    </row>
    <row r="768" spans="1:1" ht="12.75">
      <c r="A768" s="315"/>
    </row>
    <row r="769" spans="1:1" ht="12.75">
      <c r="A769" s="315"/>
    </row>
    <row r="770" spans="1:1" ht="12.75">
      <c r="A770" s="315"/>
    </row>
    <row r="771" spans="1:1" ht="12.75">
      <c r="A771" s="315"/>
    </row>
    <row r="772" spans="1:1" ht="12.75">
      <c r="A772" s="315"/>
    </row>
    <row r="773" spans="1:1" ht="12.75">
      <c r="A773" s="315"/>
    </row>
    <row r="774" spans="1:1" ht="12.75">
      <c r="A774" s="315"/>
    </row>
    <row r="775" spans="1:1" ht="12.75">
      <c r="A775" s="315"/>
    </row>
    <row r="776" spans="1:1" ht="12.75">
      <c r="A776" s="315"/>
    </row>
    <row r="777" spans="1:1" ht="12.75">
      <c r="A777" s="315"/>
    </row>
    <row r="778" spans="1:1" ht="12.75">
      <c r="A778" s="315"/>
    </row>
    <row r="779" spans="1:1" ht="12.75">
      <c r="A779" s="315"/>
    </row>
    <row r="780" spans="1:1" ht="12.75">
      <c r="A780" s="315"/>
    </row>
    <row r="781" spans="1:1" ht="12.75">
      <c r="A781" s="315"/>
    </row>
    <row r="782" spans="1:1" ht="12.75">
      <c r="A782" s="315"/>
    </row>
    <row r="783" spans="1:1" ht="12.75">
      <c r="A783" s="315"/>
    </row>
    <row r="784" spans="1:1" ht="12.75">
      <c r="A784" s="315"/>
    </row>
    <row r="785" spans="1:1" ht="12.75">
      <c r="A785" s="315"/>
    </row>
    <row r="786" spans="1:1" ht="12.75">
      <c r="A786" s="315"/>
    </row>
    <row r="787" spans="1:1" ht="12.75">
      <c r="A787" s="315"/>
    </row>
    <row r="788" spans="1:1" ht="12.75">
      <c r="A788" s="315"/>
    </row>
    <row r="789" spans="1:1" ht="12.75">
      <c r="A789" s="315"/>
    </row>
    <row r="790" spans="1:1" ht="12.75">
      <c r="A790" s="315"/>
    </row>
    <row r="791" spans="1:1" ht="12.75">
      <c r="A791" s="315"/>
    </row>
    <row r="792" spans="1:1" ht="12.75">
      <c r="A792" s="315"/>
    </row>
    <row r="793" spans="1:1" ht="12.75">
      <c r="A793" s="315"/>
    </row>
    <row r="794" spans="1:1" ht="12.75">
      <c r="A794" s="315"/>
    </row>
    <row r="795" spans="1:1" ht="12.75">
      <c r="A795" s="315"/>
    </row>
    <row r="796" spans="1:1" ht="12.75">
      <c r="A796" s="315"/>
    </row>
    <row r="797" spans="1:1" ht="12.75">
      <c r="A797" s="315"/>
    </row>
    <row r="798" spans="1:1" ht="12.75">
      <c r="A798" s="315"/>
    </row>
    <row r="799" spans="1:1" ht="12.75">
      <c r="A799" s="315"/>
    </row>
    <row r="800" spans="1:1" ht="12.75">
      <c r="A800" s="315"/>
    </row>
    <row r="801" spans="1:1" ht="12.75">
      <c r="A801" s="315"/>
    </row>
    <row r="802" spans="1:1" ht="12.75">
      <c r="A802" s="315"/>
    </row>
    <row r="803" spans="1:1" ht="12.75">
      <c r="A803" s="315"/>
    </row>
    <row r="804" spans="1:1" ht="12.75">
      <c r="A804" s="315"/>
    </row>
    <row r="805" spans="1:1" ht="12.75">
      <c r="A805" s="315"/>
    </row>
    <row r="806" spans="1:1" ht="12.75">
      <c r="A806" s="315"/>
    </row>
    <row r="807" spans="1:1" ht="12.75">
      <c r="A807" s="315"/>
    </row>
    <row r="808" spans="1:1" ht="12.75">
      <c r="A808" s="315"/>
    </row>
    <row r="809" spans="1:1" ht="12.75">
      <c r="A809" s="315"/>
    </row>
    <row r="810" spans="1:1" ht="12.75">
      <c r="A810" s="315"/>
    </row>
    <row r="811" spans="1:1" ht="12.75">
      <c r="A811" s="315"/>
    </row>
    <row r="812" spans="1:1" ht="12.75">
      <c r="A812" s="315"/>
    </row>
    <row r="813" spans="1:1" ht="12.75">
      <c r="A813" s="315"/>
    </row>
    <row r="814" spans="1:1" ht="12.75">
      <c r="A814" s="315"/>
    </row>
    <row r="815" spans="1:1" ht="12.75">
      <c r="A815" s="315"/>
    </row>
    <row r="816" spans="1:1" ht="12.75">
      <c r="A816" s="315"/>
    </row>
    <row r="817" spans="1:1" ht="12.75">
      <c r="A817" s="315"/>
    </row>
    <row r="818" spans="1:1" ht="12.75">
      <c r="A818" s="315"/>
    </row>
    <row r="819" spans="1:1" ht="12.75">
      <c r="A819" s="315"/>
    </row>
    <row r="820" spans="1:1" ht="12.75">
      <c r="A820" s="315"/>
    </row>
    <row r="821" spans="1:1" ht="12.75">
      <c r="A821" s="315"/>
    </row>
    <row r="822" spans="1:1" ht="12.75">
      <c r="A822" s="315"/>
    </row>
    <row r="823" spans="1:1" ht="12.75">
      <c r="A823" s="315"/>
    </row>
    <row r="824" spans="1:1" ht="12.75">
      <c r="A824" s="315"/>
    </row>
    <row r="825" spans="1:1" ht="12.75">
      <c r="A825" s="315"/>
    </row>
    <row r="826" spans="1:1" ht="12.75">
      <c r="A826" s="315"/>
    </row>
    <row r="827" spans="1:1" ht="12.75">
      <c r="A827" s="315"/>
    </row>
    <row r="828" spans="1:1" ht="12.75">
      <c r="A828" s="315"/>
    </row>
    <row r="829" spans="1:1" ht="12.75">
      <c r="A829" s="315"/>
    </row>
    <row r="830" spans="1:1" ht="12.75">
      <c r="A830" s="315"/>
    </row>
    <row r="831" spans="1:1" ht="12.75">
      <c r="A831" s="315"/>
    </row>
    <row r="832" spans="1:1" ht="12.75">
      <c r="A832" s="315"/>
    </row>
    <row r="833" spans="1:1" ht="12.75">
      <c r="A833" s="315"/>
    </row>
    <row r="834" spans="1:1" ht="12.75">
      <c r="A834" s="315"/>
    </row>
    <row r="835" spans="1:1" ht="12.75">
      <c r="A835" s="315"/>
    </row>
    <row r="836" spans="1:1" ht="12.75">
      <c r="A836" s="315"/>
    </row>
    <row r="837" spans="1:1" ht="12.75">
      <c r="A837" s="315"/>
    </row>
    <row r="838" spans="1:1" ht="12.75">
      <c r="A838" s="315"/>
    </row>
    <row r="839" spans="1:1" ht="12.75">
      <c r="A839" s="315"/>
    </row>
    <row r="840" spans="1:1" ht="12.75">
      <c r="A840" s="315"/>
    </row>
    <row r="841" spans="1:1" ht="12.75">
      <c r="A841" s="315"/>
    </row>
    <row r="842" spans="1:1" ht="12.75">
      <c r="A842" s="315"/>
    </row>
    <row r="843" spans="1:1" ht="12.75">
      <c r="A843" s="315"/>
    </row>
    <row r="844" spans="1:1" ht="12.75">
      <c r="A844" s="315"/>
    </row>
    <row r="845" spans="1:1" ht="12.75">
      <c r="A845" s="315"/>
    </row>
    <row r="846" spans="1:1" ht="12.75">
      <c r="A846" s="315"/>
    </row>
    <row r="847" spans="1:1" ht="12.75">
      <c r="A847" s="315"/>
    </row>
    <row r="848" spans="1:1" ht="12.75">
      <c r="A848" s="315"/>
    </row>
    <row r="849" spans="1:1" ht="12.75">
      <c r="A849" s="315"/>
    </row>
    <row r="850" spans="1:1" ht="12.75">
      <c r="A850" s="315"/>
    </row>
    <row r="851" spans="1:1" ht="12.75">
      <c r="A851" s="315"/>
    </row>
    <row r="852" spans="1:1" ht="12.75">
      <c r="A852" s="315"/>
    </row>
    <row r="853" spans="1:1" ht="12.75">
      <c r="A853" s="315"/>
    </row>
    <row r="854" spans="1:1" ht="12.75">
      <c r="A854" s="315"/>
    </row>
    <row r="855" spans="1:1" ht="12.75">
      <c r="A855" s="315"/>
    </row>
    <row r="856" spans="1:1" ht="12.75">
      <c r="A856" s="315"/>
    </row>
    <row r="857" spans="1:1" ht="12.75">
      <c r="A857" s="315"/>
    </row>
    <row r="858" spans="1:1" ht="12.75">
      <c r="A858" s="315"/>
    </row>
    <row r="859" spans="1:1" ht="12.75">
      <c r="A859" s="315"/>
    </row>
    <row r="860" spans="1:1" ht="12.75">
      <c r="A860" s="315"/>
    </row>
    <row r="861" spans="1:1" ht="12.75">
      <c r="A861" s="315"/>
    </row>
    <row r="862" spans="1:1" ht="12.75">
      <c r="A862" s="315"/>
    </row>
    <row r="863" spans="1:1" ht="12.75">
      <c r="A863" s="315"/>
    </row>
    <row r="864" spans="1:1" ht="12.75">
      <c r="A864" s="315"/>
    </row>
    <row r="865" spans="1:1" ht="12.75">
      <c r="A865" s="315"/>
    </row>
    <row r="866" spans="1:1" ht="12.75">
      <c r="A866" s="315"/>
    </row>
    <row r="867" spans="1:1" ht="12.75">
      <c r="A867" s="315"/>
    </row>
    <row r="868" spans="1:1" ht="12.75">
      <c r="A868" s="315"/>
    </row>
    <row r="869" spans="1:1" ht="12.75">
      <c r="A869" s="315"/>
    </row>
    <row r="870" spans="1:1" ht="12.75">
      <c r="A870" s="315"/>
    </row>
    <row r="871" spans="1:1" ht="12.75">
      <c r="A871" s="315"/>
    </row>
    <row r="872" spans="1:1" ht="12.75">
      <c r="A872" s="315"/>
    </row>
    <row r="873" spans="1:1" ht="12.75">
      <c r="A873" s="315"/>
    </row>
    <row r="874" spans="1:1" ht="12.75">
      <c r="A874" s="315"/>
    </row>
    <row r="875" spans="1:1" ht="12.75">
      <c r="A875" s="315"/>
    </row>
    <row r="876" spans="1:1" ht="12.75">
      <c r="A876" s="315"/>
    </row>
    <row r="877" spans="1:1" ht="12.75">
      <c r="A877" s="315"/>
    </row>
    <row r="878" spans="1:1" ht="12.75">
      <c r="A878" s="315"/>
    </row>
    <row r="879" spans="1:1" ht="12.75">
      <c r="A879" s="315"/>
    </row>
    <row r="880" spans="1:1" ht="12.75">
      <c r="A880" s="315"/>
    </row>
    <row r="881" spans="1:1" ht="12.75">
      <c r="A881" s="315"/>
    </row>
    <row r="882" spans="1:1" ht="12.75">
      <c r="A882" s="315"/>
    </row>
    <row r="883" spans="1:1" ht="12.75">
      <c r="A883" s="315"/>
    </row>
    <row r="884" spans="1:1" ht="12.75">
      <c r="A884" s="315"/>
    </row>
    <row r="885" spans="1:1" ht="12.75">
      <c r="A885" s="315"/>
    </row>
    <row r="886" spans="1:1" ht="12.75">
      <c r="A886" s="315"/>
    </row>
    <row r="887" spans="1:1" ht="12.75">
      <c r="A887" s="315"/>
    </row>
    <row r="888" spans="1:1" ht="12.75">
      <c r="A888" s="315"/>
    </row>
    <row r="889" spans="1:1" ht="12.75">
      <c r="A889" s="315"/>
    </row>
    <row r="890" spans="1:1" ht="12.75">
      <c r="A890" s="315"/>
    </row>
    <row r="891" spans="1:1" ht="12.75">
      <c r="A891" s="315"/>
    </row>
    <row r="892" spans="1:1" ht="12.75">
      <c r="A892" s="315"/>
    </row>
    <row r="893" spans="1:1" ht="12.75">
      <c r="A893" s="315"/>
    </row>
    <row r="894" spans="1:1" ht="12.75">
      <c r="A894" s="315"/>
    </row>
    <row r="895" spans="1:1" ht="12.75">
      <c r="A895" s="315"/>
    </row>
    <row r="896" spans="1:1" ht="12.75">
      <c r="A896" s="315"/>
    </row>
    <row r="897" spans="1:1" ht="12.75">
      <c r="A897" s="315"/>
    </row>
    <row r="898" spans="1:1" ht="12.75">
      <c r="A898" s="315"/>
    </row>
    <row r="899" spans="1:1" ht="12.75">
      <c r="A899" s="315"/>
    </row>
    <row r="900" spans="1:1" ht="12.75">
      <c r="A900" s="315"/>
    </row>
    <row r="901" spans="1:1" ht="12.75">
      <c r="A901" s="315"/>
    </row>
    <row r="902" spans="1:1" ht="12.75">
      <c r="A902" s="315"/>
    </row>
    <row r="903" spans="1:1" ht="12.75">
      <c r="A903" s="315"/>
    </row>
    <row r="904" spans="1:1" ht="12.75">
      <c r="A904" s="315"/>
    </row>
    <row r="905" spans="1:1" ht="12.75">
      <c r="A905" s="315"/>
    </row>
    <row r="906" spans="1:1" ht="12.75">
      <c r="A906" s="315"/>
    </row>
    <row r="907" spans="1:1" ht="12.75">
      <c r="A907" s="315"/>
    </row>
    <row r="908" spans="1:1" ht="12.75">
      <c r="A908" s="315"/>
    </row>
    <row r="909" spans="1:1" ht="12.75">
      <c r="A909" s="315"/>
    </row>
    <row r="910" spans="1:1" ht="12.75">
      <c r="A910" s="315"/>
    </row>
    <row r="911" spans="1:1" ht="12.75">
      <c r="A911" s="315"/>
    </row>
    <row r="912" spans="1:1" ht="12.75">
      <c r="A912" s="315"/>
    </row>
    <row r="913" spans="1:1" ht="12.75">
      <c r="A913" s="315"/>
    </row>
    <row r="914" spans="1:1" ht="12.75">
      <c r="A914" s="315"/>
    </row>
    <row r="915" spans="1:1" ht="12.75">
      <c r="A915" s="315"/>
    </row>
    <row r="916" spans="1:1" ht="12.75">
      <c r="A916" s="315"/>
    </row>
    <row r="917" spans="1:1" ht="12.75">
      <c r="A917" s="315"/>
    </row>
    <row r="918" spans="1:1" ht="12.75">
      <c r="A918" s="315"/>
    </row>
    <row r="919" spans="1:1" ht="12.75">
      <c r="A919" s="315"/>
    </row>
    <row r="920" spans="1:1" ht="12.75">
      <c r="A920" s="315"/>
    </row>
    <row r="921" spans="1:1" ht="12.75">
      <c r="A921" s="315"/>
    </row>
    <row r="922" spans="1:1" ht="12.75">
      <c r="A922" s="315"/>
    </row>
    <row r="923" spans="1:1" ht="12.75">
      <c r="A923" s="315"/>
    </row>
    <row r="924" spans="1:1" ht="12.75">
      <c r="A924" s="315"/>
    </row>
    <row r="925" spans="1:1" ht="12.75">
      <c r="A925" s="315"/>
    </row>
    <row r="926" spans="1:1" ht="12.75">
      <c r="A926" s="315"/>
    </row>
    <row r="927" spans="1:1" ht="12.75">
      <c r="A927" s="315"/>
    </row>
    <row r="928" spans="1:1" ht="12.75">
      <c r="A928" s="315"/>
    </row>
    <row r="929" spans="1:1" ht="12.75">
      <c r="A929" s="315"/>
    </row>
    <row r="930" spans="1:1" ht="12.75">
      <c r="A930" s="315"/>
    </row>
    <row r="931" spans="1:1" ht="12.75">
      <c r="A931" s="315"/>
    </row>
    <row r="932" spans="1:1" ht="12.75">
      <c r="A932" s="315"/>
    </row>
    <row r="933" spans="1:1" ht="12.75">
      <c r="A933" s="315"/>
    </row>
    <row r="934" spans="1:1" ht="12.75">
      <c r="A934" s="315"/>
    </row>
    <row r="935" spans="1:1" ht="12.75">
      <c r="A935" s="315"/>
    </row>
    <row r="936" spans="1:1" ht="12.75">
      <c r="A936" s="315"/>
    </row>
    <row r="937" spans="1:1" ht="12.75">
      <c r="A937" s="315"/>
    </row>
    <row r="938" spans="1:1" ht="12.75">
      <c r="A938" s="315"/>
    </row>
    <row r="939" spans="1:1" ht="12.75">
      <c r="A939" s="315"/>
    </row>
    <row r="940" spans="1:1" ht="12.75">
      <c r="A940" s="315"/>
    </row>
    <row r="941" spans="1:1" ht="12.75">
      <c r="A941" s="315"/>
    </row>
    <row r="942" spans="1:1" ht="12.75">
      <c r="A942" s="315"/>
    </row>
    <row r="943" spans="1:1" ht="12.75">
      <c r="A943" s="315"/>
    </row>
    <row r="944" spans="1:1" ht="12.75">
      <c r="A944" s="315"/>
    </row>
    <row r="945" spans="1:1" ht="12.75">
      <c r="A945" s="315"/>
    </row>
    <row r="946" spans="1:1" ht="12.75">
      <c r="A946" s="315"/>
    </row>
    <row r="947" spans="1:1" ht="12.75">
      <c r="A947" s="315"/>
    </row>
    <row r="948" spans="1:1" ht="12.75">
      <c r="A948" s="315"/>
    </row>
    <row r="949" spans="1:1" ht="12.75">
      <c r="A949" s="315"/>
    </row>
    <row r="950" spans="1:1" ht="12.75">
      <c r="A950" s="315"/>
    </row>
    <row r="951" spans="1:1" ht="12.75">
      <c r="A951" s="315"/>
    </row>
    <row r="952" spans="1:1" ht="12.75">
      <c r="A952" s="315"/>
    </row>
    <row r="953" spans="1:1" ht="12.75">
      <c r="A953" s="315"/>
    </row>
    <row r="954" spans="1:1" ht="12.75">
      <c r="A954" s="315"/>
    </row>
    <row r="955" spans="1:1" ht="12.75">
      <c r="A955" s="315"/>
    </row>
    <row r="956" spans="1:1" ht="12.75">
      <c r="A956" s="315"/>
    </row>
    <row r="957" spans="1:1" ht="12.75">
      <c r="A957" s="315"/>
    </row>
    <row r="958" spans="1:1" ht="12.75">
      <c r="A958" s="315"/>
    </row>
    <row r="959" spans="1:1" ht="12.75">
      <c r="A959" s="315"/>
    </row>
    <row r="960" spans="1:1" ht="12.75">
      <c r="A960" s="315"/>
    </row>
    <row r="961" spans="1:1" ht="12.75">
      <c r="A961" s="315"/>
    </row>
    <row r="962" spans="1:1" ht="12.75">
      <c r="A962" s="315"/>
    </row>
    <row r="963" spans="1:1" ht="12.75">
      <c r="A963" s="315"/>
    </row>
    <row r="964" spans="1:1" ht="12.75">
      <c r="A964" s="315"/>
    </row>
    <row r="965" spans="1:1" ht="12.75">
      <c r="A965" s="315"/>
    </row>
    <row r="966" spans="1:1" ht="12.75">
      <c r="A966" s="315"/>
    </row>
    <row r="967" spans="1:1" ht="12.75">
      <c r="A967" s="315"/>
    </row>
    <row r="968" spans="1:1" ht="12.75">
      <c r="A968" s="315"/>
    </row>
    <row r="969" spans="1:1" ht="12.75">
      <c r="A969" s="315"/>
    </row>
    <row r="970" spans="1:1" ht="12.75">
      <c r="A970" s="315"/>
    </row>
    <row r="971" spans="1:1" ht="12.75">
      <c r="A971" s="315"/>
    </row>
    <row r="972" spans="1:1" ht="12.75">
      <c r="A972" s="315"/>
    </row>
    <row r="973" spans="1:1" ht="12.75">
      <c r="A973" s="315"/>
    </row>
    <row r="974" spans="1:1" ht="12.75">
      <c r="A974" s="315"/>
    </row>
    <row r="975" spans="1:1" ht="12.75">
      <c r="A975" s="315"/>
    </row>
    <row r="976" spans="1:1" ht="12.75">
      <c r="A976" s="315"/>
    </row>
    <row r="977" spans="1:1" ht="12.75">
      <c r="A977" s="315"/>
    </row>
    <row r="978" spans="1:1" ht="12.75">
      <c r="A978" s="315"/>
    </row>
    <row r="979" spans="1:1" ht="12.75">
      <c r="A979" s="315"/>
    </row>
    <row r="980" spans="1:1" ht="12.75">
      <c r="A980" s="315"/>
    </row>
    <row r="981" spans="1:1" ht="12.75">
      <c r="A981" s="315"/>
    </row>
    <row r="982" spans="1:1" ht="12.75">
      <c r="A982" s="315"/>
    </row>
    <row r="983" spans="1:1" ht="12.75">
      <c r="A983" s="315"/>
    </row>
    <row r="984" spans="1:1" ht="12.75">
      <c r="A984" s="315"/>
    </row>
    <row r="985" spans="1:1" ht="12.75">
      <c r="A985" s="315"/>
    </row>
    <row r="986" spans="1:1" ht="12.75">
      <c r="A986" s="315"/>
    </row>
    <row r="987" spans="1:1" ht="12.75">
      <c r="A987" s="315"/>
    </row>
    <row r="988" spans="1:1" ht="12.75">
      <c r="A988" s="315"/>
    </row>
    <row r="989" spans="1:1" ht="12.75">
      <c r="A989" s="315"/>
    </row>
    <row r="990" spans="1:1" ht="12.75">
      <c r="A990" s="315"/>
    </row>
    <row r="991" spans="1:1" ht="12.75">
      <c r="A991" s="315"/>
    </row>
    <row r="992" spans="1:1" ht="12.75">
      <c r="A992" s="315"/>
    </row>
    <row r="993" spans="1:1" ht="12.75">
      <c r="A993" s="315"/>
    </row>
    <row r="994" spans="1:1" ht="12.75">
      <c r="A994" s="315"/>
    </row>
    <row r="995" spans="1:1" ht="12.75">
      <c r="A995" s="315"/>
    </row>
    <row r="996" spans="1:1" ht="12.75">
      <c r="A996" s="315"/>
    </row>
    <row r="997" spans="1:1" ht="12.75">
      <c r="A997" s="315"/>
    </row>
    <row r="998" spans="1:1" ht="12.75">
      <c r="A998" s="315"/>
    </row>
    <row r="999" spans="1:1" ht="12.75">
      <c r="A999" s="315"/>
    </row>
    <row r="1000" spans="1:1" ht="12.75">
      <c r="A1000" s="3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K124"/>
  <sheetViews>
    <sheetView workbookViewId="0">
      <selection activeCell="I12" sqref="A1:XFD1048576"/>
    </sheetView>
  </sheetViews>
  <sheetFormatPr defaultRowHeight="13.5"/>
  <cols>
    <col min="1" max="16384" width="9.140625" style="641"/>
  </cols>
  <sheetData>
    <row r="1" spans="1:11" ht="21">
      <c r="A1" s="640" t="s">
        <v>993</v>
      </c>
      <c r="K1" s="642" t="s">
        <v>993</v>
      </c>
    </row>
    <row r="2" spans="1:11" ht="21">
      <c r="A2" s="643" t="s">
        <v>782</v>
      </c>
      <c r="K2" s="644" t="s">
        <v>782</v>
      </c>
    </row>
    <row r="3" spans="1:11" ht="21">
      <c r="A3" s="643" t="s">
        <v>1086</v>
      </c>
      <c r="K3" s="644" t="s">
        <v>1086</v>
      </c>
    </row>
    <row r="4" spans="1:11" ht="21">
      <c r="A4" s="643" t="s">
        <v>1288</v>
      </c>
      <c r="K4" s="644" t="s">
        <v>1288</v>
      </c>
    </row>
    <row r="5" spans="1:11" ht="21">
      <c r="A5" s="643" t="s">
        <v>1290</v>
      </c>
      <c r="K5" s="644" t="s">
        <v>1290</v>
      </c>
    </row>
    <row r="6" spans="1:11" ht="21">
      <c r="A6" s="643" t="s">
        <v>1098</v>
      </c>
      <c r="K6" s="644" t="s">
        <v>1098</v>
      </c>
    </row>
    <row r="7" spans="1:11" ht="21">
      <c r="A7" s="643" t="s">
        <v>1295</v>
      </c>
      <c r="K7" s="644" t="s">
        <v>1295</v>
      </c>
    </row>
    <row r="8" spans="1:11" ht="21">
      <c r="A8" s="643" t="s">
        <v>1100</v>
      </c>
      <c r="K8" s="644" t="s">
        <v>1100</v>
      </c>
    </row>
    <row r="9" spans="1:11" ht="21">
      <c r="A9" s="643" t="s">
        <v>1102</v>
      </c>
      <c r="K9" s="644" t="s">
        <v>1102</v>
      </c>
    </row>
    <row r="10" spans="1:11" ht="21">
      <c r="A10" s="643" t="s">
        <v>1104</v>
      </c>
      <c r="K10" s="644" t="s">
        <v>1104</v>
      </c>
    </row>
    <row r="11" spans="1:11" ht="21">
      <c r="A11" s="643" t="s">
        <v>1299</v>
      </c>
      <c r="K11" s="644" t="s">
        <v>1299</v>
      </c>
    </row>
    <row r="12" spans="1:11" ht="21">
      <c r="A12" s="643" t="s">
        <v>787</v>
      </c>
      <c r="K12" s="644" t="s">
        <v>787</v>
      </c>
    </row>
    <row r="13" spans="1:11" ht="21">
      <c r="A13" s="643" t="s">
        <v>1302</v>
      </c>
      <c r="K13" s="644" t="s">
        <v>1302</v>
      </c>
    </row>
    <row r="14" spans="1:11" ht="21">
      <c r="A14" s="643" t="s">
        <v>1304</v>
      </c>
      <c r="K14" s="644" t="s">
        <v>1304</v>
      </c>
    </row>
    <row r="15" spans="1:11" ht="21">
      <c r="A15" s="643" t="s">
        <v>1306</v>
      </c>
      <c r="K15" s="644" t="s">
        <v>1306</v>
      </c>
    </row>
    <row r="16" spans="1:11" ht="21">
      <c r="A16" s="643" t="s">
        <v>1308</v>
      </c>
      <c r="K16" s="644" t="s">
        <v>1308</v>
      </c>
    </row>
    <row r="17" spans="1:11" ht="21">
      <c r="A17" s="643" t="s">
        <v>1310</v>
      </c>
      <c r="K17" s="644" t="s">
        <v>1310</v>
      </c>
    </row>
    <row r="18" spans="1:11" ht="21">
      <c r="A18" s="643" t="s">
        <v>1312</v>
      </c>
      <c r="K18" s="644" t="s">
        <v>1312</v>
      </c>
    </row>
    <row r="19" spans="1:11" ht="21">
      <c r="A19" s="643" t="s">
        <v>1313</v>
      </c>
      <c r="K19" s="644" t="s">
        <v>1313</v>
      </c>
    </row>
    <row r="20" spans="1:11" ht="21">
      <c r="A20" s="643" t="s">
        <v>1315</v>
      </c>
      <c r="K20" s="644" t="s">
        <v>1315</v>
      </c>
    </row>
    <row r="21" spans="1:11" ht="21">
      <c r="A21" s="643" t="s">
        <v>1105</v>
      </c>
      <c r="K21" s="644" t="s">
        <v>1105</v>
      </c>
    </row>
    <row r="22" spans="1:11" ht="21">
      <c r="A22" s="643" t="s">
        <v>1318</v>
      </c>
      <c r="K22" s="644" t="s">
        <v>1318</v>
      </c>
    </row>
    <row r="23" spans="1:11" ht="21">
      <c r="A23" s="643" t="s">
        <v>1106</v>
      </c>
      <c r="K23" s="644" t="s">
        <v>1106</v>
      </c>
    </row>
    <row r="24" spans="1:11" ht="21">
      <c r="A24" s="643" t="s">
        <v>1110</v>
      </c>
      <c r="K24" s="644" t="s">
        <v>1110</v>
      </c>
    </row>
    <row r="25" spans="1:11" ht="21">
      <c r="A25" s="643" t="s">
        <v>1113</v>
      </c>
      <c r="K25" s="644" t="s">
        <v>1113</v>
      </c>
    </row>
    <row r="26" spans="1:11" ht="21">
      <c r="A26" s="643" t="s">
        <v>1319</v>
      </c>
      <c r="K26" s="644" t="s">
        <v>1319</v>
      </c>
    </row>
    <row r="27" spans="1:11" ht="21">
      <c r="A27" s="643" t="s">
        <v>1114</v>
      </c>
      <c r="K27" s="644" t="s">
        <v>1114</v>
      </c>
    </row>
    <row r="28" spans="1:11" ht="21">
      <c r="A28" s="643" t="s">
        <v>4142</v>
      </c>
      <c r="K28" s="644" t="s">
        <v>4142</v>
      </c>
    </row>
    <row r="29" spans="1:11" ht="21">
      <c r="A29" s="643" t="s">
        <v>1117</v>
      </c>
      <c r="K29" s="644" t="s">
        <v>1117</v>
      </c>
    </row>
    <row r="30" spans="1:11" ht="21">
      <c r="A30" s="643" t="s">
        <v>4116</v>
      </c>
      <c r="K30" s="644" t="s">
        <v>4116</v>
      </c>
    </row>
    <row r="31" spans="1:11" ht="21">
      <c r="A31" s="643" t="s">
        <v>691</v>
      </c>
      <c r="K31" s="644" t="s">
        <v>691</v>
      </c>
    </row>
    <row r="32" spans="1:11" ht="21">
      <c r="A32" s="643" t="s">
        <v>701</v>
      </c>
      <c r="K32" s="644" t="s">
        <v>701</v>
      </c>
    </row>
    <row r="33" spans="1:11" ht="21">
      <c r="A33" s="643" t="s">
        <v>1321</v>
      </c>
      <c r="K33" s="644" t="s">
        <v>1321</v>
      </c>
    </row>
    <row r="34" spans="1:11" ht="21">
      <c r="A34" s="643" t="s">
        <v>1322</v>
      </c>
      <c r="K34" s="644" t="s">
        <v>1322</v>
      </c>
    </row>
    <row r="35" spans="1:11" ht="21">
      <c r="A35" s="643" t="s">
        <v>1324</v>
      </c>
      <c r="K35" s="644" t="s">
        <v>1324</v>
      </c>
    </row>
    <row r="36" spans="1:11" ht="21">
      <c r="A36" s="643" t="s">
        <v>1326</v>
      </c>
      <c r="K36" s="644" t="s">
        <v>1326</v>
      </c>
    </row>
    <row r="37" spans="1:11" ht="21">
      <c r="A37" s="643" t="s">
        <v>1328</v>
      </c>
      <c r="K37" s="644" t="s">
        <v>1328</v>
      </c>
    </row>
    <row r="38" spans="1:11" ht="21">
      <c r="A38" s="643" t="s">
        <v>1330</v>
      </c>
      <c r="K38" s="644" t="s">
        <v>1330</v>
      </c>
    </row>
    <row r="39" spans="1:11" ht="21">
      <c r="A39" s="643" t="s">
        <v>1332</v>
      </c>
      <c r="K39" s="644" t="s">
        <v>1332</v>
      </c>
    </row>
    <row r="40" spans="1:11" ht="21">
      <c r="A40" s="643" t="s">
        <v>1334</v>
      </c>
      <c r="K40" s="644" t="s">
        <v>1334</v>
      </c>
    </row>
    <row r="41" spans="1:11" ht="21">
      <c r="A41" s="643" t="s">
        <v>4147</v>
      </c>
      <c r="K41" s="644" t="s">
        <v>4147</v>
      </c>
    </row>
    <row r="42" spans="1:11" ht="21">
      <c r="A42" s="643" t="s">
        <v>4148</v>
      </c>
      <c r="K42" s="644" t="s">
        <v>4148</v>
      </c>
    </row>
    <row r="43" spans="1:11" ht="21">
      <c r="A43" s="643" t="s">
        <v>4149</v>
      </c>
      <c r="K43" s="644" t="s">
        <v>4149</v>
      </c>
    </row>
    <row r="44" spans="1:11" ht="21">
      <c r="A44" s="643" t="s">
        <v>4150</v>
      </c>
      <c r="K44" s="644" t="s">
        <v>4150</v>
      </c>
    </row>
    <row r="45" spans="1:11" ht="21">
      <c r="A45" s="643" t="s">
        <v>4151</v>
      </c>
      <c r="K45" s="644" t="s">
        <v>4151</v>
      </c>
    </row>
    <row r="46" spans="1:11" ht="21">
      <c r="A46" s="643" t="s">
        <v>4152</v>
      </c>
      <c r="K46" s="644" t="s">
        <v>4152</v>
      </c>
    </row>
    <row r="47" spans="1:11" ht="21">
      <c r="A47" s="643" t="s">
        <v>4153</v>
      </c>
      <c r="K47" s="644" t="s">
        <v>4153</v>
      </c>
    </row>
    <row r="48" spans="1:11" ht="21">
      <c r="A48" s="643" t="s">
        <v>4154</v>
      </c>
      <c r="K48" s="644" t="s">
        <v>4154</v>
      </c>
    </row>
    <row r="49" spans="1:11" ht="21">
      <c r="A49" s="643" t="s">
        <v>1342</v>
      </c>
      <c r="K49" s="644" t="s">
        <v>1342</v>
      </c>
    </row>
    <row r="50" spans="1:11" ht="21">
      <c r="A50" s="643" t="s">
        <v>1343</v>
      </c>
      <c r="K50" s="644" t="s">
        <v>1343</v>
      </c>
    </row>
    <row r="51" spans="1:11" ht="21">
      <c r="A51" s="643" t="s">
        <v>1344</v>
      </c>
      <c r="K51" s="644" t="s">
        <v>1344</v>
      </c>
    </row>
    <row r="52" spans="1:11" ht="21">
      <c r="A52" s="643" t="s">
        <v>1345</v>
      </c>
      <c r="K52" s="644" t="s">
        <v>1345</v>
      </c>
    </row>
    <row r="53" spans="1:11" ht="21">
      <c r="A53" s="643" t="s">
        <v>1346</v>
      </c>
      <c r="K53" s="644" t="s">
        <v>1346</v>
      </c>
    </row>
    <row r="54" spans="1:11" ht="21">
      <c r="A54" s="643" t="s">
        <v>1347</v>
      </c>
      <c r="K54" s="644" t="s">
        <v>1347</v>
      </c>
    </row>
    <row r="55" spans="1:11" ht="21">
      <c r="A55" s="643" t="s">
        <v>1348</v>
      </c>
      <c r="K55" s="644" t="s">
        <v>1348</v>
      </c>
    </row>
    <row r="56" spans="1:11" ht="21">
      <c r="A56" s="643" t="s">
        <v>1351</v>
      </c>
      <c r="K56" s="644" t="s">
        <v>1351</v>
      </c>
    </row>
    <row r="57" spans="1:11" ht="21">
      <c r="A57" s="643" t="s">
        <v>1352</v>
      </c>
      <c r="K57" s="644" t="s">
        <v>1352</v>
      </c>
    </row>
    <row r="58" spans="1:11" ht="21">
      <c r="A58" s="643" t="s">
        <v>1353</v>
      </c>
      <c r="K58" s="644" t="s">
        <v>1353</v>
      </c>
    </row>
    <row r="59" spans="1:11" ht="21">
      <c r="A59" s="643" t="s">
        <v>1354</v>
      </c>
      <c r="K59" s="644" t="s">
        <v>1354</v>
      </c>
    </row>
    <row r="60" spans="1:11" ht="21">
      <c r="A60" s="643" t="s">
        <v>1355</v>
      </c>
      <c r="K60" s="644" t="s">
        <v>1355</v>
      </c>
    </row>
    <row r="61" spans="1:11" ht="21">
      <c r="A61" s="643" t="s">
        <v>1356</v>
      </c>
      <c r="K61" s="644" t="s">
        <v>1356</v>
      </c>
    </row>
    <row r="62" spans="1:11" ht="21">
      <c r="A62" s="643" t="s">
        <v>1358</v>
      </c>
      <c r="K62" s="644" t="s">
        <v>1358</v>
      </c>
    </row>
    <row r="63" spans="1:11" ht="21">
      <c r="A63" s="643" t="s">
        <v>1359</v>
      </c>
      <c r="K63" s="644" t="s">
        <v>1359</v>
      </c>
    </row>
    <row r="64" spans="1:11" ht="21">
      <c r="A64" s="643" t="s">
        <v>1360</v>
      </c>
      <c r="K64" s="644" t="s">
        <v>1360</v>
      </c>
    </row>
    <row r="65" spans="1:11" ht="21">
      <c r="A65" s="643" t="s">
        <v>1361</v>
      </c>
      <c r="K65" s="644" t="s">
        <v>1361</v>
      </c>
    </row>
    <row r="66" spans="1:11" ht="21">
      <c r="A66" s="643" t="s">
        <v>1362</v>
      </c>
      <c r="K66" s="644" t="s">
        <v>1362</v>
      </c>
    </row>
    <row r="67" spans="1:11" ht="21">
      <c r="A67" s="643" t="s">
        <v>1363</v>
      </c>
      <c r="K67" s="644" t="s">
        <v>1363</v>
      </c>
    </row>
    <row r="68" spans="1:11" ht="21">
      <c r="A68" s="643" t="s">
        <v>1364</v>
      </c>
      <c r="K68" s="644" t="s">
        <v>1364</v>
      </c>
    </row>
    <row r="69" spans="1:11" ht="21">
      <c r="A69" s="643" t="s">
        <v>1365</v>
      </c>
      <c r="K69" s="644" t="s">
        <v>1365</v>
      </c>
    </row>
    <row r="70" spans="1:11" ht="21">
      <c r="A70" s="643" t="s">
        <v>1366</v>
      </c>
      <c r="K70" s="644" t="s">
        <v>1366</v>
      </c>
    </row>
    <row r="71" spans="1:11" ht="21">
      <c r="A71" s="643" t="s">
        <v>1367</v>
      </c>
      <c r="K71" s="644" t="s">
        <v>1367</v>
      </c>
    </row>
    <row r="72" spans="1:11" ht="21">
      <c r="A72" s="643" t="s">
        <v>1368</v>
      </c>
      <c r="K72" s="644" t="s">
        <v>1368</v>
      </c>
    </row>
    <row r="73" spans="1:11" ht="21">
      <c r="A73" s="643" t="s">
        <v>1369</v>
      </c>
      <c r="K73" s="644" t="s">
        <v>1369</v>
      </c>
    </row>
    <row r="74" spans="1:11" ht="21">
      <c r="A74" s="643" t="s">
        <v>1370</v>
      </c>
      <c r="K74" s="644" t="s">
        <v>1370</v>
      </c>
    </row>
    <row r="75" spans="1:11" ht="21">
      <c r="A75" s="643" t="s">
        <v>1373</v>
      </c>
      <c r="K75" s="644" t="s">
        <v>1373</v>
      </c>
    </row>
    <row r="76" spans="1:11" ht="21">
      <c r="A76" s="643" t="s">
        <v>1374</v>
      </c>
      <c r="K76" s="644" t="s">
        <v>1374</v>
      </c>
    </row>
    <row r="77" spans="1:11" ht="21">
      <c r="A77" s="643" t="s">
        <v>1375</v>
      </c>
      <c r="K77" s="644" t="s">
        <v>1375</v>
      </c>
    </row>
    <row r="78" spans="1:11" ht="21">
      <c r="A78" s="643" t="s">
        <v>1378</v>
      </c>
      <c r="K78" s="644" t="s">
        <v>1378</v>
      </c>
    </row>
    <row r="79" spans="1:11" ht="21">
      <c r="A79" s="643" t="s">
        <v>1379</v>
      </c>
      <c r="K79" s="644" t="s">
        <v>1379</v>
      </c>
    </row>
    <row r="80" spans="1:11" ht="21">
      <c r="A80" s="643" t="s">
        <v>1382</v>
      </c>
      <c r="K80" s="644" t="s">
        <v>1382</v>
      </c>
    </row>
    <row r="81" spans="1:11" ht="21">
      <c r="A81" s="643" t="s">
        <v>1383</v>
      </c>
      <c r="K81" s="644" t="s">
        <v>1383</v>
      </c>
    </row>
    <row r="82" spans="1:11" ht="21">
      <c r="A82" s="643" t="s">
        <v>1384</v>
      </c>
      <c r="K82" s="644" t="s">
        <v>1384</v>
      </c>
    </row>
    <row r="83" spans="1:11" ht="21">
      <c r="A83" s="643" t="s">
        <v>1385</v>
      </c>
      <c r="K83" s="644" t="s">
        <v>1385</v>
      </c>
    </row>
    <row r="84" spans="1:11" ht="21">
      <c r="A84" s="643" t="s">
        <v>1386</v>
      </c>
      <c r="K84" s="644" t="s">
        <v>1386</v>
      </c>
    </row>
    <row r="85" spans="1:11" ht="21">
      <c r="A85" s="643" t="s">
        <v>1387</v>
      </c>
      <c r="K85" s="644" t="s">
        <v>1387</v>
      </c>
    </row>
    <row r="86" spans="1:11" ht="21">
      <c r="A86" s="643" t="s">
        <v>1388</v>
      </c>
      <c r="K86" s="644" t="s">
        <v>1388</v>
      </c>
    </row>
    <row r="87" spans="1:11" ht="21">
      <c r="A87" s="643" t="s">
        <v>1389</v>
      </c>
      <c r="K87" s="644" t="s">
        <v>1389</v>
      </c>
    </row>
    <row r="88" spans="1:11" ht="21">
      <c r="A88" s="643" t="s">
        <v>1390</v>
      </c>
      <c r="K88" s="644" t="s">
        <v>1390</v>
      </c>
    </row>
    <row r="89" spans="1:11" ht="21">
      <c r="A89" s="643" t="s">
        <v>1391</v>
      </c>
      <c r="K89" s="644" t="s">
        <v>1391</v>
      </c>
    </row>
    <row r="90" spans="1:11" ht="21">
      <c r="A90" s="643" t="s">
        <v>1392</v>
      </c>
      <c r="K90" s="644" t="s">
        <v>1392</v>
      </c>
    </row>
    <row r="91" spans="1:11" ht="21">
      <c r="A91" s="643" t="s">
        <v>1393</v>
      </c>
      <c r="K91" s="644" t="s">
        <v>1393</v>
      </c>
    </row>
    <row r="92" spans="1:11" ht="21">
      <c r="A92" s="643" t="s">
        <v>1394</v>
      </c>
      <c r="K92" s="644" t="s">
        <v>1394</v>
      </c>
    </row>
    <row r="93" spans="1:11" ht="21">
      <c r="A93" s="643" t="s">
        <v>4195</v>
      </c>
      <c r="K93" s="644" t="s">
        <v>4195</v>
      </c>
    </row>
    <row r="94" spans="1:11" ht="21">
      <c r="A94" s="643" t="s">
        <v>4196</v>
      </c>
      <c r="K94" s="644" t="s">
        <v>4196</v>
      </c>
    </row>
    <row r="95" spans="1:11" ht="21">
      <c r="A95" s="643" t="s">
        <v>4197</v>
      </c>
    </row>
    <row r="96" spans="1:11" ht="21">
      <c r="A96" s="643" t="s">
        <v>3694</v>
      </c>
    </row>
    <row r="97" spans="1:1" ht="21">
      <c r="A97" s="643" t="s">
        <v>3695</v>
      </c>
    </row>
    <row r="98" spans="1:1" ht="21">
      <c r="A98" s="643" t="s">
        <v>3696</v>
      </c>
    </row>
    <row r="99" spans="1:1" ht="21">
      <c r="A99" s="643" t="s">
        <v>3697</v>
      </c>
    </row>
    <row r="100" spans="1:1" ht="21">
      <c r="A100" s="643" t="s">
        <v>4198</v>
      </c>
    </row>
    <row r="101" spans="1:1" ht="21">
      <c r="A101" s="643" t="s">
        <v>4199</v>
      </c>
    </row>
    <row r="102" spans="1:1" ht="21">
      <c r="A102" s="643" t="s">
        <v>4200</v>
      </c>
    </row>
    <row r="103" spans="1:1" ht="21">
      <c r="A103" s="643" t="s">
        <v>4201</v>
      </c>
    </row>
    <row r="104" spans="1:1" ht="21">
      <c r="A104" s="643" t="s">
        <v>4202</v>
      </c>
    </row>
    <row r="105" spans="1:1" ht="21">
      <c r="A105" s="643" t="s">
        <v>4203</v>
      </c>
    </row>
    <row r="106" spans="1:1" ht="21">
      <c r="A106" s="643" t="s">
        <v>4204</v>
      </c>
    </row>
    <row r="107" spans="1:1" ht="21">
      <c r="A107" s="643" t="s">
        <v>4205</v>
      </c>
    </row>
    <row r="108" spans="1:1" ht="21">
      <c r="A108" s="643" t="s">
        <v>4206</v>
      </c>
    </row>
    <row r="109" spans="1:1" ht="21">
      <c r="A109" s="643" t="s">
        <v>253</v>
      </c>
    </row>
    <row r="110" spans="1:1" ht="21">
      <c r="A110" s="643" t="s">
        <v>309</v>
      </c>
    </row>
    <row r="111" spans="1:1" ht="21">
      <c r="A111" s="643" t="s">
        <v>328</v>
      </c>
    </row>
    <row r="112" spans="1:1" ht="21">
      <c r="A112" s="643" t="s">
        <v>241</v>
      </c>
    </row>
    <row r="113" spans="1:1" ht="21">
      <c r="A113" s="643" t="s">
        <v>245</v>
      </c>
    </row>
    <row r="114" spans="1:1" ht="21">
      <c r="A114" s="643" t="s">
        <v>247</v>
      </c>
    </row>
    <row r="115" spans="1:1" ht="21">
      <c r="A115" s="643" t="s">
        <v>328</v>
      </c>
    </row>
    <row r="116" spans="1:1" ht="21">
      <c r="A116" s="643" t="s">
        <v>141</v>
      </c>
    </row>
    <row r="117" spans="1:1" ht="21">
      <c r="A117" s="643" t="s">
        <v>4207</v>
      </c>
    </row>
    <row r="118" spans="1:1" ht="21">
      <c r="A118" s="643" t="s">
        <v>4208</v>
      </c>
    </row>
    <row r="119" spans="1:1" ht="21">
      <c r="A119" s="643" t="s">
        <v>4209</v>
      </c>
    </row>
    <row r="120" spans="1:1" ht="21">
      <c r="A120" s="643" t="s">
        <v>4210</v>
      </c>
    </row>
    <row r="121" spans="1:1" ht="21">
      <c r="A121" s="643" t="s">
        <v>4211</v>
      </c>
    </row>
    <row r="122" spans="1:1" ht="21">
      <c r="A122" s="643" t="s">
        <v>4212</v>
      </c>
    </row>
    <row r="123" spans="1:1" ht="21">
      <c r="A123" s="643" t="s">
        <v>4213</v>
      </c>
    </row>
    <row r="124" spans="1:1" ht="21">
      <c r="A124" s="643" t="s">
        <v>312</v>
      </c>
    </row>
  </sheetData>
  <conditionalFormatting sqref="K3:K4 K8 K11">
    <cfRule type="beginsWith" dxfId="273" priority="1" operator="beginsWith" text="พัสดุ">
      <formula>LEFT((N3),LEN("พัสดุ"))=("พัสดุ")</formula>
    </cfRule>
  </conditionalFormatting>
  <conditionalFormatting sqref="K3:K4 K8 K11">
    <cfRule type="beginsWith" dxfId="272" priority="2" operator="beginsWith" text="พัสดุ">
      <formula>LEFT((N3),LEN("พัสดุ"))=("พัสดุ")</formula>
    </cfRule>
  </conditionalFormatting>
  <conditionalFormatting sqref="K3:K4 K8 K11">
    <cfRule type="beginsWith" dxfId="271" priority="3" operator="beginsWith" text="พัสดุ">
      <formula>LEFT((N3),LEN("พัสดุ"))=("พัสดุ")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460"/>
  <sheetViews>
    <sheetView topLeftCell="A31" zoomScale="115" zoomScaleNormal="115" workbookViewId="0">
      <selection activeCell="E39" sqref="A1:H326"/>
    </sheetView>
  </sheetViews>
  <sheetFormatPr defaultColWidth="14.42578125" defaultRowHeight="18"/>
  <cols>
    <col min="1" max="1" width="12.85546875" style="435" customWidth="1"/>
    <col min="2" max="2" width="11.140625" style="435" customWidth="1"/>
    <col min="3" max="3" width="13.85546875" style="435" customWidth="1"/>
    <col min="4" max="4" width="4.42578125" style="435" customWidth="1"/>
    <col min="5" max="5" width="60.42578125" style="435" customWidth="1"/>
    <col min="6" max="6" width="8.85546875" style="449" customWidth="1"/>
    <col min="7" max="7" width="14.85546875" style="449" customWidth="1"/>
    <col min="8" max="8" width="15.42578125" style="449" customWidth="1"/>
    <col min="9" max="16384" width="14.42578125" style="435"/>
  </cols>
  <sheetData>
    <row r="1" spans="1:8" ht="38.25" thickBot="1">
      <c r="A1" s="537" t="s">
        <v>10</v>
      </c>
      <c r="B1" s="537" t="s">
        <v>2</v>
      </c>
      <c r="C1" s="537" t="s">
        <v>3</v>
      </c>
      <c r="D1" s="537" t="s">
        <v>4</v>
      </c>
      <c r="E1" s="537" t="s">
        <v>2754</v>
      </c>
      <c r="F1" s="538" t="s">
        <v>3600</v>
      </c>
      <c r="G1" s="538" t="s">
        <v>7</v>
      </c>
      <c r="H1" s="538" t="s">
        <v>8</v>
      </c>
    </row>
    <row r="2" spans="1:8" ht="19.5" thickBot="1">
      <c r="A2" s="539" t="s">
        <v>4167</v>
      </c>
      <c r="B2" s="540"/>
      <c r="C2" s="540"/>
      <c r="D2" s="540"/>
      <c r="E2" s="540"/>
      <c r="F2" s="540"/>
      <c r="G2" s="540"/>
      <c r="H2" s="541"/>
    </row>
    <row r="3" spans="1:8" ht="19.5" thickBot="1">
      <c r="A3" s="645">
        <v>2320</v>
      </c>
      <c r="B3" s="543" t="s">
        <v>37</v>
      </c>
      <c r="C3" s="544">
        <v>2320.0806451612902</v>
      </c>
      <c r="D3" s="543">
        <v>62</v>
      </c>
      <c r="E3" s="545" t="s">
        <v>56</v>
      </c>
      <c r="F3" s="543" t="s">
        <v>28</v>
      </c>
      <c r="G3" s="546">
        <v>3900000</v>
      </c>
      <c r="H3" s="646">
        <v>2320</v>
      </c>
    </row>
    <row r="4" spans="1:8" ht="19.5" thickBot="1">
      <c r="A4" s="647">
        <v>2320</v>
      </c>
      <c r="B4" s="549" t="s">
        <v>37</v>
      </c>
      <c r="C4" s="550">
        <v>2320.0166666666669</v>
      </c>
      <c r="D4" s="549">
        <v>60</v>
      </c>
      <c r="E4" s="551" t="s">
        <v>55</v>
      </c>
      <c r="F4" s="549" t="s">
        <v>28</v>
      </c>
      <c r="G4" s="552">
        <v>8100000</v>
      </c>
      <c r="H4" s="648">
        <v>2320</v>
      </c>
    </row>
    <row r="5" spans="1:8" ht="19.5" thickBot="1">
      <c r="A5" s="647">
        <v>2320</v>
      </c>
      <c r="B5" s="549" t="s">
        <v>37</v>
      </c>
      <c r="C5" s="550">
        <v>2320.0338983050847</v>
      </c>
      <c r="D5" s="549">
        <v>59</v>
      </c>
      <c r="E5" s="551" t="s">
        <v>60</v>
      </c>
      <c r="F5" s="549" t="s">
        <v>28</v>
      </c>
      <c r="G5" s="552">
        <v>3210000</v>
      </c>
      <c r="H5" s="648">
        <v>2320</v>
      </c>
    </row>
    <row r="6" spans="1:8" ht="19.5" thickBot="1">
      <c r="A6" s="647">
        <v>2320</v>
      </c>
      <c r="B6" s="549" t="s">
        <v>63</v>
      </c>
      <c r="C6" s="550">
        <v>2320.0483870967741</v>
      </c>
      <c r="D6" s="549">
        <v>62</v>
      </c>
      <c r="E6" s="551" t="s">
        <v>69</v>
      </c>
      <c r="F6" s="549" t="s">
        <v>28</v>
      </c>
      <c r="G6" s="552">
        <v>2100000</v>
      </c>
      <c r="H6" s="649">
        <v>2320</v>
      </c>
    </row>
    <row r="7" spans="1:8" ht="19.5" thickBot="1">
      <c r="A7" s="650">
        <v>2320</v>
      </c>
      <c r="B7" s="651" t="s">
        <v>63</v>
      </c>
      <c r="C7" s="652">
        <v>2320.0645161290322</v>
      </c>
      <c r="D7" s="651">
        <v>62</v>
      </c>
      <c r="E7" s="653" t="s">
        <v>965</v>
      </c>
      <c r="F7" s="651" t="s">
        <v>28</v>
      </c>
      <c r="G7" s="654">
        <v>12500000</v>
      </c>
      <c r="H7" s="655">
        <v>2320</v>
      </c>
    </row>
    <row r="8" spans="1:8" ht="19.5" thickBot="1">
      <c r="A8" s="647">
        <v>2320</v>
      </c>
      <c r="B8" s="549" t="s">
        <v>63</v>
      </c>
      <c r="C8" s="550">
        <v>2320.0163934426228</v>
      </c>
      <c r="D8" s="549">
        <v>61</v>
      </c>
      <c r="E8" s="551" t="s">
        <v>82</v>
      </c>
      <c r="F8" s="549" t="s">
        <v>28</v>
      </c>
      <c r="G8" s="552">
        <v>12000000</v>
      </c>
      <c r="H8" s="648">
        <v>2320</v>
      </c>
    </row>
    <row r="9" spans="1:8" ht="38.25" thickBot="1">
      <c r="A9" s="647">
        <v>2320</v>
      </c>
      <c r="B9" s="549" t="s">
        <v>63</v>
      </c>
      <c r="C9" s="550">
        <v>2320.0357142857142</v>
      </c>
      <c r="D9" s="549">
        <v>56</v>
      </c>
      <c r="E9" s="551" t="s">
        <v>90</v>
      </c>
      <c r="F9" s="549" t="s">
        <v>28</v>
      </c>
      <c r="G9" s="552">
        <v>2800000</v>
      </c>
      <c r="H9" s="648">
        <v>2320</v>
      </c>
    </row>
    <row r="10" spans="1:8" ht="38.25" thickBot="1">
      <c r="A10" s="647">
        <v>2320</v>
      </c>
      <c r="B10" s="549" t="s">
        <v>63</v>
      </c>
      <c r="C10" s="550">
        <v>2320.0535714285716</v>
      </c>
      <c r="D10" s="549">
        <v>56</v>
      </c>
      <c r="E10" s="551" t="s">
        <v>96</v>
      </c>
      <c r="F10" s="549" t="s">
        <v>28</v>
      </c>
      <c r="G10" s="552">
        <v>2900000</v>
      </c>
      <c r="H10" s="648">
        <v>2320</v>
      </c>
    </row>
    <row r="11" spans="1:8" ht="19.5" thickBot="1">
      <c r="A11" s="647">
        <v>2320</v>
      </c>
      <c r="B11" s="549" t="s">
        <v>63</v>
      </c>
      <c r="C11" s="550">
        <v>2320.0178571428573</v>
      </c>
      <c r="D11" s="549">
        <v>56</v>
      </c>
      <c r="E11" s="551" t="s">
        <v>100</v>
      </c>
      <c r="F11" s="549" t="s">
        <v>28</v>
      </c>
      <c r="G11" s="552">
        <v>6500000</v>
      </c>
      <c r="H11" s="648">
        <v>2320</v>
      </c>
    </row>
    <row r="12" spans="1:8" ht="19.5" thickBot="1">
      <c r="A12" s="647">
        <v>2320</v>
      </c>
      <c r="B12" s="549" t="s">
        <v>63</v>
      </c>
      <c r="C12" s="550">
        <v>2320.0344827586205</v>
      </c>
      <c r="D12" s="549">
        <v>58</v>
      </c>
      <c r="E12" s="551" t="s">
        <v>106</v>
      </c>
      <c r="F12" s="549" t="s">
        <v>28</v>
      </c>
      <c r="G12" s="552">
        <v>4800000</v>
      </c>
      <c r="H12" s="648">
        <v>2320</v>
      </c>
    </row>
    <row r="13" spans="1:8" ht="19.5" thickBot="1">
      <c r="A13" s="647">
        <v>2320</v>
      </c>
      <c r="B13" s="549" t="s">
        <v>63</v>
      </c>
      <c r="C13" s="550">
        <v>2320.0555555555557</v>
      </c>
      <c r="D13" s="549">
        <v>54</v>
      </c>
      <c r="E13" s="551" t="s">
        <v>110</v>
      </c>
      <c r="F13" s="549" t="s">
        <v>28</v>
      </c>
      <c r="G13" s="552">
        <v>1100000</v>
      </c>
      <c r="H13" s="648">
        <v>2320</v>
      </c>
    </row>
    <row r="14" spans="1:8" ht="19.5" thickBot="1">
      <c r="A14" s="647">
        <v>2320</v>
      </c>
      <c r="B14" s="549" t="s">
        <v>63</v>
      </c>
      <c r="C14" s="550">
        <v>2320.0689655172414</v>
      </c>
      <c r="D14" s="549">
        <v>58</v>
      </c>
      <c r="E14" s="551" t="s">
        <v>116</v>
      </c>
      <c r="F14" s="549" t="s">
        <v>28</v>
      </c>
      <c r="G14" s="552">
        <v>1980000</v>
      </c>
      <c r="H14" s="648">
        <v>2320</v>
      </c>
    </row>
    <row r="15" spans="1:8" ht="19.5" thickBot="1">
      <c r="A15" s="647">
        <v>2320</v>
      </c>
      <c r="B15" s="549" t="s">
        <v>63</v>
      </c>
      <c r="C15" s="550">
        <v>2320.0322580645161</v>
      </c>
      <c r="D15" s="549">
        <v>62</v>
      </c>
      <c r="E15" s="551" t="s">
        <v>120</v>
      </c>
      <c r="F15" s="549" t="s">
        <v>28</v>
      </c>
      <c r="G15" s="552">
        <v>950000</v>
      </c>
      <c r="H15" s="648">
        <v>2320</v>
      </c>
    </row>
    <row r="16" spans="1:8" ht="19.5" thickBot="1">
      <c r="A16" s="647">
        <v>2320</v>
      </c>
      <c r="B16" s="549" t="s">
        <v>63</v>
      </c>
      <c r="C16" s="550">
        <v>2320.0350877192982</v>
      </c>
      <c r="D16" s="549">
        <v>57</v>
      </c>
      <c r="E16" s="551" t="s">
        <v>136</v>
      </c>
      <c r="F16" s="549" t="s">
        <v>28</v>
      </c>
      <c r="G16" s="552">
        <v>982000</v>
      </c>
      <c r="H16" s="648">
        <v>2320</v>
      </c>
    </row>
    <row r="17" spans="1:8" ht="19.5" thickBot="1">
      <c r="A17" s="647">
        <v>2320</v>
      </c>
      <c r="B17" s="549" t="s">
        <v>63</v>
      </c>
      <c r="C17" s="550">
        <v>2320.016129032258</v>
      </c>
      <c r="D17" s="549">
        <v>62</v>
      </c>
      <c r="E17" s="551" t="s">
        <v>145</v>
      </c>
      <c r="F17" s="549" t="s">
        <v>28</v>
      </c>
      <c r="G17" s="552">
        <v>950000</v>
      </c>
      <c r="H17" s="648">
        <v>2320</v>
      </c>
    </row>
    <row r="18" spans="1:8" ht="19.5" thickBot="1">
      <c r="A18" s="647">
        <v>2320</v>
      </c>
      <c r="B18" s="549" t="s">
        <v>63</v>
      </c>
      <c r="C18" s="549" t="s">
        <v>153</v>
      </c>
      <c r="D18" s="549">
        <v>56</v>
      </c>
      <c r="E18" s="551" t="s">
        <v>154</v>
      </c>
      <c r="F18" s="549" t="s">
        <v>28</v>
      </c>
      <c r="G18" s="552">
        <v>70000000</v>
      </c>
      <c r="H18" s="648">
        <v>2320</v>
      </c>
    </row>
    <row r="19" spans="1:8" ht="19.5" thickBot="1">
      <c r="A19" s="647">
        <v>2320</v>
      </c>
      <c r="B19" s="549" t="s">
        <v>63</v>
      </c>
      <c r="C19" s="549" t="s">
        <v>162</v>
      </c>
      <c r="D19" s="549">
        <v>56</v>
      </c>
      <c r="E19" s="551" t="s">
        <v>163</v>
      </c>
      <c r="F19" s="549" t="s">
        <v>28</v>
      </c>
      <c r="G19" s="552">
        <v>45000000</v>
      </c>
      <c r="H19" s="649">
        <v>2320</v>
      </c>
    </row>
    <row r="20" spans="1:8" ht="19.5" thickBot="1">
      <c r="A20" s="656">
        <v>2320</v>
      </c>
      <c r="B20" s="657" t="s">
        <v>63</v>
      </c>
      <c r="C20" s="658">
        <v>2320.0967741935483</v>
      </c>
      <c r="D20" s="657">
        <v>62</v>
      </c>
      <c r="E20" s="659" t="s">
        <v>2364</v>
      </c>
      <c r="F20" s="657" t="s">
        <v>28</v>
      </c>
      <c r="G20" s="660">
        <v>7000000</v>
      </c>
      <c r="H20" s="655">
        <v>2320</v>
      </c>
    </row>
    <row r="21" spans="1:8" ht="19.5" thickBot="1">
      <c r="A21" s="539" t="s">
        <v>4168</v>
      </c>
      <c r="B21" s="540"/>
      <c r="C21" s="540"/>
      <c r="D21" s="540"/>
      <c r="E21" s="540"/>
      <c r="F21" s="540"/>
      <c r="G21" s="540"/>
      <c r="H21" s="541"/>
    </row>
    <row r="22" spans="1:8" ht="19.5" thickBot="1">
      <c r="A22" s="645">
        <v>2420</v>
      </c>
      <c r="B22" s="543" t="s">
        <v>63</v>
      </c>
      <c r="C22" s="544">
        <v>2420.0178571428573</v>
      </c>
      <c r="D22" s="543">
        <v>56</v>
      </c>
      <c r="E22" s="545" t="s">
        <v>173</v>
      </c>
      <c r="F22" s="543" t="s">
        <v>28</v>
      </c>
      <c r="G22" s="546">
        <v>740000</v>
      </c>
      <c r="H22" s="646">
        <v>2420</v>
      </c>
    </row>
    <row r="23" spans="1:8" ht="38.25" thickBot="1">
      <c r="A23" s="661">
        <v>2420</v>
      </c>
      <c r="B23" s="557" t="s">
        <v>63</v>
      </c>
      <c r="C23" s="558">
        <v>2420.0172413793102</v>
      </c>
      <c r="D23" s="557">
        <v>58</v>
      </c>
      <c r="E23" s="559" t="s">
        <v>4245</v>
      </c>
      <c r="F23" s="557" t="s">
        <v>28</v>
      </c>
      <c r="G23" s="561">
        <v>1400000</v>
      </c>
      <c r="H23" s="662">
        <v>2420</v>
      </c>
    </row>
    <row r="24" spans="1:8" ht="19.5" thickBot="1">
      <c r="A24" s="539" t="s">
        <v>4120</v>
      </c>
      <c r="B24" s="540"/>
      <c r="C24" s="540"/>
      <c r="D24" s="540"/>
      <c r="E24" s="540"/>
      <c r="F24" s="540"/>
      <c r="G24" s="540"/>
      <c r="H24" s="541"/>
    </row>
    <row r="25" spans="1:8" ht="19.5" thickBot="1">
      <c r="A25" s="645">
        <v>3220</v>
      </c>
      <c r="B25" s="543" t="s">
        <v>191</v>
      </c>
      <c r="C25" s="544">
        <v>3220.0175438596493</v>
      </c>
      <c r="D25" s="543">
        <v>57</v>
      </c>
      <c r="E25" s="545" t="s">
        <v>193</v>
      </c>
      <c r="F25" s="543" t="s">
        <v>78</v>
      </c>
      <c r="G25" s="546">
        <v>75000</v>
      </c>
      <c r="H25" s="646">
        <v>3220</v>
      </c>
    </row>
    <row r="26" spans="1:8" ht="19.5" thickBot="1">
      <c r="A26" s="661">
        <v>3220</v>
      </c>
      <c r="B26" s="557" t="s">
        <v>191</v>
      </c>
      <c r="C26" s="558">
        <v>3220.0344827586205</v>
      </c>
      <c r="D26" s="557">
        <v>58</v>
      </c>
      <c r="E26" s="559" t="s">
        <v>203</v>
      </c>
      <c r="F26" s="557" t="s">
        <v>78</v>
      </c>
      <c r="G26" s="561">
        <v>14500</v>
      </c>
      <c r="H26" s="662">
        <v>3220</v>
      </c>
    </row>
    <row r="27" spans="1:8" ht="19.5" thickBot="1">
      <c r="A27" s="663">
        <v>3230</v>
      </c>
      <c r="B27" s="664" t="s">
        <v>191</v>
      </c>
      <c r="C27" s="665">
        <v>3230.0175438596493</v>
      </c>
      <c r="D27" s="664">
        <v>57</v>
      </c>
      <c r="E27" s="666" t="s">
        <v>209</v>
      </c>
      <c r="F27" s="664" t="s">
        <v>78</v>
      </c>
      <c r="G27" s="667">
        <v>35000</v>
      </c>
      <c r="H27" s="668">
        <v>3230</v>
      </c>
    </row>
    <row r="28" spans="1:8" s="440" customFormat="1" ht="19.5" thickBot="1">
      <c r="A28" s="539" t="s">
        <v>4121</v>
      </c>
      <c r="B28" s="540"/>
      <c r="C28" s="540"/>
      <c r="D28" s="540"/>
      <c r="E28" s="540"/>
      <c r="F28" s="540"/>
      <c r="G28" s="540"/>
      <c r="H28" s="541"/>
    </row>
    <row r="29" spans="1:8" ht="19.5" thickBot="1">
      <c r="A29" s="576">
        <v>3405</v>
      </c>
      <c r="B29" s="576" t="s">
        <v>191</v>
      </c>
      <c r="C29" s="577" t="s">
        <v>220</v>
      </c>
      <c r="D29" s="576">
        <v>52</v>
      </c>
      <c r="E29" s="578" t="s">
        <v>221</v>
      </c>
      <c r="F29" s="579" t="s">
        <v>78</v>
      </c>
      <c r="G29" s="580">
        <v>8600</v>
      </c>
      <c r="H29" s="581" t="s">
        <v>2369</v>
      </c>
    </row>
    <row r="30" spans="1:8" ht="19.5" thickBot="1">
      <c r="A30" s="576">
        <v>3413</v>
      </c>
      <c r="B30" s="576" t="s">
        <v>191</v>
      </c>
      <c r="C30" s="577" t="s">
        <v>226</v>
      </c>
      <c r="D30" s="576">
        <v>52</v>
      </c>
      <c r="E30" s="578" t="s">
        <v>227</v>
      </c>
      <c r="F30" s="579" t="s">
        <v>78</v>
      </c>
      <c r="G30" s="580">
        <v>15000</v>
      </c>
      <c r="H30" s="581" t="s">
        <v>2371</v>
      </c>
    </row>
    <row r="31" spans="1:8" ht="19.5" thickBot="1">
      <c r="A31" s="576">
        <v>3416</v>
      </c>
      <c r="B31" s="576" t="s">
        <v>157</v>
      </c>
      <c r="C31" s="577" t="s">
        <v>232</v>
      </c>
      <c r="D31" s="576">
        <v>59</v>
      </c>
      <c r="E31" s="578" t="s">
        <v>233</v>
      </c>
      <c r="F31" s="579" t="s">
        <v>78</v>
      </c>
      <c r="G31" s="580">
        <v>550000</v>
      </c>
      <c r="H31" s="581" t="s">
        <v>2374</v>
      </c>
    </row>
    <row r="32" spans="1:8" ht="19.5" thickBot="1">
      <c r="A32" s="576">
        <v>3431</v>
      </c>
      <c r="B32" s="576" t="s">
        <v>63</v>
      </c>
      <c r="C32" s="577" t="s">
        <v>237</v>
      </c>
      <c r="D32" s="576">
        <v>53</v>
      </c>
      <c r="E32" s="578" t="s">
        <v>239</v>
      </c>
      <c r="F32" s="579" t="s">
        <v>78</v>
      </c>
      <c r="G32" s="580">
        <v>175000</v>
      </c>
      <c r="H32" s="581" t="s">
        <v>2377</v>
      </c>
    </row>
    <row r="33" spans="1:8" ht="19.5" thickBot="1">
      <c r="A33" s="576">
        <v>3431</v>
      </c>
      <c r="B33" s="576" t="s">
        <v>157</v>
      </c>
      <c r="C33" s="577" t="s">
        <v>243</v>
      </c>
      <c r="D33" s="576">
        <v>55</v>
      </c>
      <c r="E33" s="578" t="s">
        <v>244</v>
      </c>
      <c r="F33" s="579" t="s">
        <v>78</v>
      </c>
      <c r="G33" s="580">
        <v>35000</v>
      </c>
      <c r="H33" s="581" t="s">
        <v>2377</v>
      </c>
    </row>
    <row r="34" spans="1:8" ht="19.5" thickBot="1">
      <c r="A34" s="576">
        <v>3431</v>
      </c>
      <c r="B34" s="576" t="s">
        <v>157</v>
      </c>
      <c r="C34" s="577" t="s">
        <v>248</v>
      </c>
      <c r="D34" s="576">
        <v>54</v>
      </c>
      <c r="E34" s="578" t="s">
        <v>250</v>
      </c>
      <c r="F34" s="579" t="s">
        <v>78</v>
      </c>
      <c r="G34" s="580">
        <v>14000</v>
      </c>
      <c r="H34" s="581" t="s">
        <v>2377</v>
      </c>
    </row>
    <row r="35" spans="1:8" ht="19.5" thickBot="1">
      <c r="A35" s="576">
        <v>3432</v>
      </c>
      <c r="B35" s="576" t="s">
        <v>256</v>
      </c>
      <c r="C35" s="577" t="s">
        <v>263</v>
      </c>
      <c r="D35" s="576">
        <v>56</v>
      </c>
      <c r="E35" s="578" t="s">
        <v>265</v>
      </c>
      <c r="F35" s="579" t="s">
        <v>78</v>
      </c>
      <c r="G35" s="580">
        <v>100000</v>
      </c>
      <c r="H35" s="581" t="s">
        <v>2378</v>
      </c>
    </row>
    <row r="36" spans="1:8" ht="19.5" thickBot="1">
      <c r="A36" s="576">
        <v>3432</v>
      </c>
      <c r="B36" s="576" t="s">
        <v>256</v>
      </c>
      <c r="C36" s="577" t="s">
        <v>257</v>
      </c>
      <c r="D36" s="576">
        <v>54</v>
      </c>
      <c r="E36" s="578" t="s">
        <v>258</v>
      </c>
      <c r="F36" s="579" t="s">
        <v>78</v>
      </c>
      <c r="G36" s="580">
        <v>220000</v>
      </c>
      <c r="H36" s="581" t="s">
        <v>2378</v>
      </c>
    </row>
    <row r="37" spans="1:8" ht="19.5" thickBot="1">
      <c r="A37" s="576">
        <v>3433</v>
      </c>
      <c r="B37" s="576" t="s">
        <v>157</v>
      </c>
      <c r="C37" s="577" t="s">
        <v>270</v>
      </c>
      <c r="D37" s="576">
        <v>54</v>
      </c>
      <c r="E37" s="578" t="s">
        <v>272</v>
      </c>
      <c r="F37" s="579" t="s">
        <v>78</v>
      </c>
      <c r="G37" s="580">
        <v>9500</v>
      </c>
      <c r="H37" s="581" t="s">
        <v>2379</v>
      </c>
    </row>
    <row r="38" spans="1:8" ht="19.5" thickBot="1">
      <c r="A38" s="576">
        <v>3433</v>
      </c>
      <c r="B38" s="576" t="s">
        <v>157</v>
      </c>
      <c r="C38" s="577" t="s">
        <v>278</v>
      </c>
      <c r="D38" s="576">
        <v>53</v>
      </c>
      <c r="E38" s="578" t="s">
        <v>279</v>
      </c>
      <c r="F38" s="579" t="s">
        <v>53</v>
      </c>
      <c r="G38" s="580">
        <v>26500</v>
      </c>
      <c r="H38" s="581" t="s">
        <v>2379</v>
      </c>
    </row>
    <row r="39" spans="1:8" ht="19.5" thickBot="1">
      <c r="A39" s="576">
        <v>3442</v>
      </c>
      <c r="B39" s="576" t="s">
        <v>63</v>
      </c>
      <c r="C39" s="577" t="s">
        <v>284</v>
      </c>
      <c r="D39" s="576">
        <v>58</v>
      </c>
      <c r="E39" s="578" t="s">
        <v>285</v>
      </c>
      <c r="F39" s="579" t="s">
        <v>78</v>
      </c>
      <c r="G39" s="580">
        <v>200000</v>
      </c>
      <c r="H39" s="581" t="s">
        <v>2380</v>
      </c>
    </row>
    <row r="40" spans="1:8" ht="19.5" thickBot="1">
      <c r="A40" s="539" t="s">
        <v>4122</v>
      </c>
      <c r="B40" s="540"/>
      <c r="C40" s="540"/>
      <c r="D40" s="540"/>
      <c r="E40" s="540"/>
      <c r="F40" s="540"/>
      <c r="G40" s="540"/>
      <c r="H40" s="541"/>
    </row>
    <row r="41" spans="1:8" ht="19.5" thickBot="1">
      <c r="A41" s="661">
        <v>3750</v>
      </c>
      <c r="B41" s="557" t="s">
        <v>256</v>
      </c>
      <c r="C41" s="558">
        <v>3750.0163934426228</v>
      </c>
      <c r="D41" s="557">
        <v>61</v>
      </c>
      <c r="E41" s="559" t="s">
        <v>152</v>
      </c>
      <c r="F41" s="557" t="s">
        <v>78</v>
      </c>
      <c r="G41" s="561">
        <v>9500</v>
      </c>
      <c r="H41" s="662">
        <v>3750</v>
      </c>
    </row>
    <row r="42" spans="1:8" ht="19.5" thickBot="1">
      <c r="A42" s="569">
        <v>3750</v>
      </c>
      <c r="B42" s="570" t="s">
        <v>256</v>
      </c>
      <c r="C42" s="571">
        <v>3750.0377358490564</v>
      </c>
      <c r="D42" s="570">
        <v>53</v>
      </c>
      <c r="E42" s="572" t="s">
        <v>161</v>
      </c>
      <c r="F42" s="570" t="s">
        <v>78</v>
      </c>
      <c r="G42" s="573">
        <v>13000</v>
      </c>
      <c r="H42" s="574">
        <v>3750</v>
      </c>
    </row>
    <row r="43" spans="1:8" ht="19.5" thickBot="1">
      <c r="A43" s="661">
        <v>3750</v>
      </c>
      <c r="B43" s="557" t="s">
        <v>256</v>
      </c>
      <c r="C43" s="558">
        <v>3750.016129032258</v>
      </c>
      <c r="D43" s="557">
        <v>62</v>
      </c>
      <c r="E43" s="559" t="s">
        <v>165</v>
      </c>
      <c r="F43" s="557" t="s">
        <v>78</v>
      </c>
      <c r="G43" s="669">
        <v>182000</v>
      </c>
      <c r="H43" s="662">
        <v>3750</v>
      </c>
    </row>
    <row r="44" spans="1:8" ht="19.5" thickBot="1">
      <c r="A44" s="569">
        <v>3750</v>
      </c>
      <c r="B44" s="570" t="s">
        <v>256</v>
      </c>
      <c r="C44" s="571">
        <v>3750.0322580645161</v>
      </c>
      <c r="D44" s="570">
        <v>62</v>
      </c>
      <c r="E44" s="572" t="s">
        <v>167</v>
      </c>
      <c r="F44" s="570" t="s">
        <v>78</v>
      </c>
      <c r="G44" s="573">
        <v>12000</v>
      </c>
      <c r="H44" s="574">
        <v>3750</v>
      </c>
    </row>
    <row r="45" spans="1:8" ht="38.25" thickBot="1">
      <c r="A45" s="537" t="s">
        <v>10</v>
      </c>
      <c r="B45" s="537" t="s">
        <v>2</v>
      </c>
      <c r="C45" s="537" t="s">
        <v>3</v>
      </c>
      <c r="D45" s="537" t="s">
        <v>4</v>
      </c>
      <c r="E45" s="537" t="s">
        <v>2754</v>
      </c>
      <c r="F45" s="538" t="s">
        <v>3600</v>
      </c>
      <c r="G45" s="538" t="s">
        <v>7</v>
      </c>
      <c r="H45" s="538" t="s">
        <v>8</v>
      </c>
    </row>
    <row r="46" spans="1:8" ht="19.5" thickBot="1">
      <c r="A46" s="647">
        <v>3750</v>
      </c>
      <c r="B46" s="549" t="s">
        <v>256</v>
      </c>
      <c r="C46" s="550">
        <v>3750.0172413793102</v>
      </c>
      <c r="D46" s="549">
        <v>58</v>
      </c>
      <c r="E46" s="551" t="s">
        <v>320</v>
      </c>
      <c r="F46" s="549" t="s">
        <v>78</v>
      </c>
      <c r="G46" s="582">
        <v>180000</v>
      </c>
      <c r="H46" s="648">
        <v>3750</v>
      </c>
    </row>
    <row r="47" spans="1:8" ht="19.5" thickBot="1">
      <c r="A47" s="661">
        <v>3750</v>
      </c>
      <c r="B47" s="557" t="s">
        <v>63</v>
      </c>
      <c r="C47" s="558">
        <v>3750.0181818181818</v>
      </c>
      <c r="D47" s="557">
        <v>55</v>
      </c>
      <c r="E47" s="559" t="s">
        <v>326</v>
      </c>
      <c r="F47" s="557" t="s">
        <v>53</v>
      </c>
      <c r="G47" s="561">
        <v>750000</v>
      </c>
      <c r="H47" s="662">
        <v>3750</v>
      </c>
    </row>
    <row r="48" spans="1:8" ht="19.5" thickBot="1">
      <c r="A48" s="539" t="s">
        <v>4123</v>
      </c>
      <c r="B48" s="540"/>
      <c r="C48" s="540"/>
      <c r="D48" s="540"/>
      <c r="E48" s="540"/>
      <c r="F48" s="540"/>
      <c r="G48" s="540"/>
      <c r="H48" s="541"/>
    </row>
    <row r="49" spans="1:8" ht="19.5" thickBot="1">
      <c r="A49" s="647">
        <v>3805</v>
      </c>
      <c r="B49" s="549" t="s">
        <v>63</v>
      </c>
      <c r="C49" s="550">
        <v>3805.0166666666669</v>
      </c>
      <c r="D49" s="549">
        <v>60</v>
      </c>
      <c r="E49" s="551" t="s">
        <v>4246</v>
      </c>
      <c r="F49" s="549" t="s">
        <v>28</v>
      </c>
      <c r="G49" s="552">
        <v>2500000</v>
      </c>
      <c r="H49" s="648">
        <v>3805</v>
      </c>
    </row>
    <row r="50" spans="1:8" ht="19.5" thickBot="1">
      <c r="A50" s="647">
        <v>3805</v>
      </c>
      <c r="B50" s="549" t="s">
        <v>63</v>
      </c>
      <c r="C50" s="550">
        <v>3805.0350877192982</v>
      </c>
      <c r="D50" s="549">
        <v>57</v>
      </c>
      <c r="E50" s="551" t="s">
        <v>351</v>
      </c>
      <c r="F50" s="549" t="s">
        <v>28</v>
      </c>
      <c r="G50" s="582">
        <v>5000000</v>
      </c>
      <c r="H50" s="648">
        <v>3805</v>
      </c>
    </row>
    <row r="51" spans="1:8" ht="19.5" thickBot="1">
      <c r="A51" s="647">
        <v>3805</v>
      </c>
      <c r="B51" s="549" t="s">
        <v>63</v>
      </c>
      <c r="C51" s="550">
        <v>3805.0169491525426</v>
      </c>
      <c r="D51" s="549">
        <v>59</v>
      </c>
      <c r="E51" s="551" t="s">
        <v>360</v>
      </c>
      <c r="F51" s="549" t="s">
        <v>28</v>
      </c>
      <c r="G51" s="552">
        <v>4500000</v>
      </c>
      <c r="H51" s="648">
        <v>3805</v>
      </c>
    </row>
    <row r="52" spans="1:8" ht="19.5" thickBot="1">
      <c r="A52" s="647">
        <v>3805</v>
      </c>
      <c r="B52" s="549" t="s">
        <v>63</v>
      </c>
      <c r="C52" s="550">
        <v>3805.0322580645161</v>
      </c>
      <c r="D52" s="549">
        <v>62</v>
      </c>
      <c r="E52" s="551" t="s">
        <v>4247</v>
      </c>
      <c r="F52" s="549" t="s">
        <v>28</v>
      </c>
      <c r="G52" s="582">
        <v>3300000</v>
      </c>
      <c r="H52" s="648">
        <v>3805</v>
      </c>
    </row>
    <row r="53" spans="1:8" ht="19.5" thickBot="1">
      <c r="A53" s="647">
        <v>3805</v>
      </c>
      <c r="B53" s="549" t="s">
        <v>63</v>
      </c>
      <c r="C53" s="550">
        <v>3805.016129032258</v>
      </c>
      <c r="D53" s="549">
        <v>62</v>
      </c>
      <c r="E53" s="551" t="s">
        <v>366</v>
      </c>
      <c r="F53" s="549" t="s">
        <v>28</v>
      </c>
      <c r="G53" s="552">
        <v>3800000</v>
      </c>
      <c r="H53" s="648">
        <v>3805</v>
      </c>
    </row>
    <row r="54" spans="1:8" ht="19.5" thickBot="1">
      <c r="A54" s="576">
        <v>3820</v>
      </c>
      <c r="B54" s="576" t="s">
        <v>372</v>
      </c>
      <c r="C54" s="577" t="s">
        <v>375</v>
      </c>
      <c r="D54" s="576">
        <v>61</v>
      </c>
      <c r="E54" s="578" t="s">
        <v>376</v>
      </c>
      <c r="F54" s="579" t="s">
        <v>78</v>
      </c>
      <c r="G54" s="580">
        <v>580000</v>
      </c>
      <c r="H54" s="581" t="s">
        <v>2393</v>
      </c>
    </row>
    <row r="55" spans="1:8" ht="19.5" thickBot="1">
      <c r="A55" s="576">
        <v>3820</v>
      </c>
      <c r="B55" s="576" t="s">
        <v>372</v>
      </c>
      <c r="C55" s="577" t="s">
        <v>387</v>
      </c>
      <c r="D55" s="576">
        <v>61</v>
      </c>
      <c r="E55" s="578" t="s">
        <v>388</v>
      </c>
      <c r="F55" s="579" t="s">
        <v>78</v>
      </c>
      <c r="G55" s="580">
        <v>80000</v>
      </c>
      <c r="H55" s="581" t="s">
        <v>2393</v>
      </c>
    </row>
    <row r="56" spans="1:8" ht="19.5" thickBot="1">
      <c r="A56" s="576">
        <v>3820</v>
      </c>
      <c r="B56" s="576" t="s">
        <v>372</v>
      </c>
      <c r="C56" s="577" t="s">
        <v>392</v>
      </c>
      <c r="D56" s="576">
        <v>55</v>
      </c>
      <c r="E56" s="578" t="s">
        <v>393</v>
      </c>
      <c r="F56" s="579" t="s">
        <v>78</v>
      </c>
      <c r="G56" s="580">
        <v>300000</v>
      </c>
      <c r="H56" s="581" t="s">
        <v>2393</v>
      </c>
    </row>
    <row r="57" spans="1:8" ht="19.5" thickBot="1">
      <c r="A57" s="576">
        <v>3825</v>
      </c>
      <c r="B57" s="576" t="s">
        <v>63</v>
      </c>
      <c r="C57" s="577" t="s">
        <v>401</v>
      </c>
      <c r="D57" s="576">
        <v>53</v>
      </c>
      <c r="E57" s="578" t="s">
        <v>403</v>
      </c>
      <c r="F57" s="579" t="s">
        <v>78</v>
      </c>
      <c r="G57" s="580">
        <v>270000</v>
      </c>
      <c r="H57" s="581" t="s">
        <v>2394</v>
      </c>
    </row>
    <row r="58" spans="1:8" ht="19.5" thickBot="1">
      <c r="A58" s="576">
        <v>3825</v>
      </c>
      <c r="B58" s="576" t="s">
        <v>63</v>
      </c>
      <c r="C58" s="577" t="s">
        <v>4183</v>
      </c>
      <c r="D58" s="576">
        <v>62</v>
      </c>
      <c r="E58" s="578" t="s">
        <v>4184</v>
      </c>
      <c r="F58" s="579" t="s">
        <v>28</v>
      </c>
      <c r="G58" s="580">
        <v>1900000</v>
      </c>
      <c r="H58" s="595">
        <v>3825</v>
      </c>
    </row>
    <row r="59" spans="1:8" ht="19.5" thickBot="1">
      <c r="A59" s="670">
        <v>3825</v>
      </c>
      <c r="B59" s="670" t="s">
        <v>63</v>
      </c>
      <c r="C59" s="671" t="s">
        <v>4262</v>
      </c>
      <c r="D59" s="670">
        <v>59</v>
      </c>
      <c r="E59" s="672" t="s">
        <v>3350</v>
      </c>
      <c r="F59" s="673" t="s">
        <v>28</v>
      </c>
      <c r="G59" s="674">
        <v>10000000</v>
      </c>
      <c r="H59" s="675" t="s">
        <v>2394</v>
      </c>
    </row>
    <row r="60" spans="1:8" ht="19.5" thickBot="1">
      <c r="A60" s="576">
        <v>3825</v>
      </c>
      <c r="B60" s="576" t="s">
        <v>63</v>
      </c>
      <c r="C60" s="577" t="s">
        <v>4263</v>
      </c>
      <c r="D60" s="576">
        <v>59</v>
      </c>
      <c r="E60" s="578" t="s">
        <v>413</v>
      </c>
      <c r="F60" s="579" t="s">
        <v>28</v>
      </c>
      <c r="G60" s="580">
        <v>15500000</v>
      </c>
      <c r="H60" s="581" t="s">
        <v>2394</v>
      </c>
    </row>
    <row r="61" spans="1:8" ht="19.5" thickBot="1">
      <c r="A61" s="576">
        <v>3825</v>
      </c>
      <c r="B61" s="576" t="s">
        <v>63</v>
      </c>
      <c r="C61" s="577" t="s">
        <v>417</v>
      </c>
      <c r="D61" s="576">
        <v>56</v>
      </c>
      <c r="E61" s="578" t="s">
        <v>418</v>
      </c>
      <c r="F61" s="579" t="s">
        <v>28</v>
      </c>
      <c r="G61" s="580">
        <v>345000</v>
      </c>
      <c r="H61" s="581" t="s">
        <v>2394</v>
      </c>
    </row>
    <row r="62" spans="1:8" ht="19.5" thickBot="1">
      <c r="A62" s="576">
        <v>3825</v>
      </c>
      <c r="B62" s="576" t="s">
        <v>63</v>
      </c>
      <c r="C62" s="577" t="s">
        <v>429</v>
      </c>
      <c r="D62" s="576">
        <v>54</v>
      </c>
      <c r="E62" s="578" t="s">
        <v>430</v>
      </c>
      <c r="F62" s="579" t="s">
        <v>28</v>
      </c>
      <c r="G62" s="580">
        <v>2400000</v>
      </c>
      <c r="H62" s="581" t="s">
        <v>2394</v>
      </c>
    </row>
    <row r="63" spans="1:8" ht="19.5" thickBot="1">
      <c r="A63" s="576">
        <v>3895</v>
      </c>
      <c r="B63" s="576" t="s">
        <v>191</v>
      </c>
      <c r="C63" s="577" t="s">
        <v>434</v>
      </c>
      <c r="D63" s="576">
        <v>55</v>
      </c>
      <c r="E63" s="578" t="s">
        <v>435</v>
      </c>
      <c r="F63" s="579" t="s">
        <v>78</v>
      </c>
      <c r="G63" s="580">
        <v>300000</v>
      </c>
      <c r="H63" s="581" t="s">
        <v>2395</v>
      </c>
    </row>
    <row r="64" spans="1:8" ht="19.5" thickBot="1">
      <c r="A64" s="670">
        <v>3895</v>
      </c>
      <c r="B64" s="670" t="s">
        <v>191</v>
      </c>
      <c r="C64" s="671" t="s">
        <v>4264</v>
      </c>
      <c r="D64" s="670">
        <v>55</v>
      </c>
      <c r="E64" s="672" t="s">
        <v>494</v>
      </c>
      <c r="F64" s="673" t="s">
        <v>78</v>
      </c>
      <c r="G64" s="674">
        <v>45000</v>
      </c>
      <c r="H64" s="675" t="s">
        <v>2395</v>
      </c>
    </row>
    <row r="65" spans="1:8" ht="19.5" thickBot="1">
      <c r="A65" s="670">
        <v>3895</v>
      </c>
      <c r="B65" s="670" t="s">
        <v>63</v>
      </c>
      <c r="C65" s="671" t="s">
        <v>4266</v>
      </c>
      <c r="D65" s="670">
        <v>62</v>
      </c>
      <c r="E65" s="672" t="s">
        <v>4265</v>
      </c>
      <c r="F65" s="673" t="s">
        <v>78</v>
      </c>
      <c r="G65" s="674">
        <v>50000</v>
      </c>
      <c r="H65" s="675" t="s">
        <v>2395</v>
      </c>
    </row>
    <row r="66" spans="1:8" ht="19.5" thickBot="1">
      <c r="A66" s="670">
        <v>3895</v>
      </c>
      <c r="B66" s="670" t="s">
        <v>63</v>
      </c>
      <c r="C66" s="671" t="s">
        <v>4255</v>
      </c>
      <c r="D66" s="670">
        <v>62</v>
      </c>
      <c r="E66" s="672" t="s">
        <v>4256</v>
      </c>
      <c r="F66" s="673" t="s">
        <v>78</v>
      </c>
      <c r="G66" s="674">
        <v>8000000</v>
      </c>
      <c r="H66" s="675" t="s">
        <v>2395</v>
      </c>
    </row>
    <row r="67" spans="1:8" ht="19.5" thickBot="1">
      <c r="A67" s="670">
        <v>3895</v>
      </c>
      <c r="B67" s="670" t="s">
        <v>63</v>
      </c>
      <c r="C67" s="671" t="s">
        <v>4257</v>
      </c>
      <c r="D67" s="670">
        <v>62</v>
      </c>
      <c r="E67" s="672" t="s">
        <v>4258</v>
      </c>
      <c r="F67" s="673" t="s">
        <v>78</v>
      </c>
      <c r="G67" s="674">
        <v>14000000</v>
      </c>
      <c r="H67" s="675" t="s">
        <v>2395</v>
      </c>
    </row>
    <row r="68" spans="1:8" ht="19.5" thickBot="1">
      <c r="A68" s="576">
        <v>3895</v>
      </c>
      <c r="B68" s="576" t="s">
        <v>63</v>
      </c>
      <c r="C68" s="577" t="s">
        <v>4187</v>
      </c>
      <c r="D68" s="576">
        <v>62</v>
      </c>
      <c r="E68" s="578" t="s">
        <v>4188</v>
      </c>
      <c r="F68" s="579" t="s">
        <v>28</v>
      </c>
      <c r="G68" s="580">
        <v>3500000</v>
      </c>
      <c r="H68" s="581" t="s">
        <v>2395</v>
      </c>
    </row>
    <row r="69" spans="1:8" ht="19.5" thickBot="1">
      <c r="A69" s="676">
        <v>3895</v>
      </c>
      <c r="B69" s="597" t="s">
        <v>63</v>
      </c>
      <c r="C69" s="677">
        <v>3895.0645161290322</v>
      </c>
      <c r="D69" s="597">
        <v>62</v>
      </c>
      <c r="E69" s="599" t="s">
        <v>4249</v>
      </c>
      <c r="F69" s="597" t="s">
        <v>28</v>
      </c>
      <c r="G69" s="600">
        <v>3000000</v>
      </c>
      <c r="H69" s="601" t="s">
        <v>2395</v>
      </c>
    </row>
    <row r="70" spans="1:8" ht="19.5" thickBot="1">
      <c r="A70" s="602" t="s">
        <v>4124</v>
      </c>
      <c r="B70" s="603"/>
      <c r="C70" s="603"/>
      <c r="D70" s="603"/>
      <c r="E70" s="603"/>
      <c r="F70" s="603"/>
      <c r="G70" s="603"/>
      <c r="H70" s="604"/>
    </row>
    <row r="71" spans="1:8" ht="19.5" thickBot="1">
      <c r="A71" s="576">
        <v>3930</v>
      </c>
      <c r="B71" s="576" t="s">
        <v>63</v>
      </c>
      <c r="C71" s="577" t="s">
        <v>450</v>
      </c>
      <c r="D71" s="576">
        <v>58</v>
      </c>
      <c r="E71" s="578" t="s">
        <v>451</v>
      </c>
      <c r="F71" s="579" t="s">
        <v>28</v>
      </c>
      <c r="G71" s="580">
        <v>1035000</v>
      </c>
      <c r="H71" s="581" t="s">
        <v>2397</v>
      </c>
    </row>
    <row r="72" spans="1:8" ht="19.5" thickBot="1">
      <c r="A72" s="576">
        <v>3930</v>
      </c>
      <c r="B72" s="576" t="s">
        <v>63</v>
      </c>
      <c r="C72" s="577" t="s">
        <v>458</v>
      </c>
      <c r="D72" s="576">
        <v>57</v>
      </c>
      <c r="E72" s="578" t="s">
        <v>459</v>
      </c>
      <c r="F72" s="579" t="s">
        <v>28</v>
      </c>
      <c r="G72" s="580">
        <v>200000</v>
      </c>
      <c r="H72" s="581">
        <v>3930</v>
      </c>
    </row>
    <row r="73" spans="1:8" ht="19.5" thickBot="1">
      <c r="A73" s="576">
        <v>3930</v>
      </c>
      <c r="B73" s="576" t="s">
        <v>63</v>
      </c>
      <c r="C73" s="577" t="s">
        <v>471</v>
      </c>
      <c r="D73" s="576">
        <v>59</v>
      </c>
      <c r="E73" s="578" t="s">
        <v>473</v>
      </c>
      <c r="F73" s="579" t="s">
        <v>28</v>
      </c>
      <c r="G73" s="580">
        <v>760000</v>
      </c>
      <c r="H73" s="581" t="s">
        <v>2397</v>
      </c>
    </row>
    <row r="74" spans="1:8" ht="19.5" thickBot="1">
      <c r="A74" s="576">
        <v>3930</v>
      </c>
      <c r="B74" s="576" t="s">
        <v>63</v>
      </c>
      <c r="C74" s="577" t="s">
        <v>478</v>
      </c>
      <c r="D74" s="576">
        <v>57</v>
      </c>
      <c r="E74" s="578" t="s">
        <v>479</v>
      </c>
      <c r="F74" s="579" t="s">
        <v>28</v>
      </c>
      <c r="G74" s="580">
        <v>960000</v>
      </c>
      <c r="H74" s="581" t="s">
        <v>2397</v>
      </c>
    </row>
    <row r="75" spans="1:8" ht="19.5" thickBot="1">
      <c r="A75" s="576">
        <v>3930</v>
      </c>
      <c r="B75" s="576" t="s">
        <v>63</v>
      </c>
      <c r="C75" s="577" t="s">
        <v>466</v>
      </c>
      <c r="D75" s="576">
        <v>60</v>
      </c>
      <c r="E75" s="578" t="s">
        <v>467</v>
      </c>
      <c r="F75" s="579" t="s">
        <v>28</v>
      </c>
      <c r="G75" s="580">
        <v>1800000</v>
      </c>
      <c r="H75" s="581" t="s">
        <v>2397</v>
      </c>
    </row>
    <row r="76" spans="1:8" ht="19.5" thickBot="1">
      <c r="A76" s="576">
        <v>3930</v>
      </c>
      <c r="B76" s="576" t="s">
        <v>63</v>
      </c>
      <c r="C76" s="577" t="s">
        <v>489</v>
      </c>
      <c r="D76" s="576">
        <v>58</v>
      </c>
      <c r="E76" s="578" t="s">
        <v>490</v>
      </c>
      <c r="F76" s="579" t="s">
        <v>28</v>
      </c>
      <c r="G76" s="580">
        <v>760000</v>
      </c>
      <c r="H76" s="581" t="s">
        <v>2397</v>
      </c>
    </row>
    <row r="77" spans="1:8" ht="19.5" thickBot="1">
      <c r="A77" s="576">
        <v>3930</v>
      </c>
      <c r="B77" s="576" t="s">
        <v>63</v>
      </c>
      <c r="C77" s="577" t="s">
        <v>496</v>
      </c>
      <c r="D77" s="576">
        <v>54</v>
      </c>
      <c r="E77" s="578" t="s">
        <v>498</v>
      </c>
      <c r="F77" s="579" t="s">
        <v>28</v>
      </c>
      <c r="G77" s="580">
        <v>1200000</v>
      </c>
      <c r="H77" s="581" t="s">
        <v>2397</v>
      </c>
    </row>
    <row r="78" spans="1:8" ht="24" customHeight="1" thickBot="1">
      <c r="A78" s="576">
        <v>3930</v>
      </c>
      <c r="B78" s="576" t="s">
        <v>157</v>
      </c>
      <c r="C78" s="577" t="s">
        <v>503</v>
      </c>
      <c r="D78" s="576">
        <v>62</v>
      </c>
      <c r="E78" s="578" t="s">
        <v>504</v>
      </c>
      <c r="F78" s="579" t="s">
        <v>28</v>
      </c>
      <c r="G78" s="580">
        <v>590000</v>
      </c>
      <c r="H78" s="581" t="s">
        <v>2397</v>
      </c>
    </row>
    <row r="79" spans="1:8" ht="19.5" thickBot="1">
      <c r="A79" s="576">
        <v>3930</v>
      </c>
      <c r="B79" s="576" t="s">
        <v>63</v>
      </c>
      <c r="C79" s="577" t="s">
        <v>511</v>
      </c>
      <c r="D79" s="576">
        <v>55</v>
      </c>
      <c r="E79" s="578" t="s">
        <v>512</v>
      </c>
      <c r="F79" s="579" t="s">
        <v>28</v>
      </c>
      <c r="G79" s="580">
        <v>1100000</v>
      </c>
      <c r="H79" s="581" t="s">
        <v>2397</v>
      </c>
    </row>
    <row r="80" spans="1:8" ht="26.25" customHeight="1" thickBot="1">
      <c r="A80" s="576">
        <v>3930</v>
      </c>
      <c r="B80" s="576" t="s">
        <v>63</v>
      </c>
      <c r="C80" s="577" t="s">
        <v>515</v>
      </c>
      <c r="D80" s="576">
        <v>58</v>
      </c>
      <c r="E80" s="578" t="s">
        <v>516</v>
      </c>
      <c r="F80" s="579" t="s">
        <v>28</v>
      </c>
      <c r="G80" s="580">
        <v>1330000</v>
      </c>
      <c r="H80" s="581" t="s">
        <v>2397</v>
      </c>
    </row>
    <row r="81" spans="1:8" ht="19.5" thickBot="1">
      <c r="A81" s="670">
        <v>3940</v>
      </c>
      <c r="B81" s="670" t="s">
        <v>157</v>
      </c>
      <c r="C81" s="671" t="s">
        <v>4267</v>
      </c>
      <c r="D81" s="670">
        <v>62</v>
      </c>
      <c r="E81" s="672" t="s">
        <v>4268</v>
      </c>
      <c r="F81" s="673" t="s">
        <v>78</v>
      </c>
      <c r="G81" s="674">
        <v>18000</v>
      </c>
      <c r="H81" s="675" t="s">
        <v>2398</v>
      </c>
    </row>
    <row r="82" spans="1:8" ht="19.5" thickBot="1">
      <c r="A82" s="576">
        <v>3940</v>
      </c>
      <c r="B82" s="576" t="s">
        <v>157</v>
      </c>
      <c r="C82" s="577" t="s">
        <v>519</v>
      </c>
      <c r="D82" s="576">
        <v>53</v>
      </c>
      <c r="E82" s="578" t="s">
        <v>520</v>
      </c>
      <c r="F82" s="579" t="s">
        <v>48</v>
      </c>
      <c r="G82" s="580">
        <v>4500</v>
      </c>
      <c r="H82" s="581" t="s">
        <v>2398</v>
      </c>
    </row>
    <row r="83" spans="1:8" ht="19.5" thickBot="1">
      <c r="A83" s="576">
        <v>3940</v>
      </c>
      <c r="B83" s="576" t="s">
        <v>157</v>
      </c>
      <c r="C83" s="577" t="s">
        <v>525</v>
      </c>
      <c r="D83" s="576">
        <v>58</v>
      </c>
      <c r="E83" s="578" t="s">
        <v>526</v>
      </c>
      <c r="F83" s="579" t="s">
        <v>48</v>
      </c>
      <c r="G83" s="580">
        <v>13000</v>
      </c>
      <c r="H83" s="581" t="s">
        <v>2398</v>
      </c>
    </row>
    <row r="84" spans="1:8" ht="19.5" thickBot="1">
      <c r="A84" s="576">
        <v>3940</v>
      </c>
      <c r="B84" s="576" t="s">
        <v>157</v>
      </c>
      <c r="C84" s="577" t="s">
        <v>535</v>
      </c>
      <c r="D84" s="576">
        <v>55</v>
      </c>
      <c r="E84" s="578" t="s">
        <v>536</v>
      </c>
      <c r="F84" s="579" t="s">
        <v>48</v>
      </c>
      <c r="G84" s="580">
        <v>35000</v>
      </c>
      <c r="H84" s="581" t="s">
        <v>2398</v>
      </c>
    </row>
    <row r="85" spans="1:8" ht="19.5" thickBot="1">
      <c r="A85" s="576">
        <v>3940</v>
      </c>
      <c r="B85" s="576" t="s">
        <v>37</v>
      </c>
      <c r="C85" s="577" t="s">
        <v>529</v>
      </c>
      <c r="D85" s="576">
        <v>55</v>
      </c>
      <c r="E85" s="578" t="s">
        <v>531</v>
      </c>
      <c r="F85" s="579" t="s">
        <v>53</v>
      </c>
      <c r="G85" s="580">
        <v>12500</v>
      </c>
      <c r="H85" s="581" t="s">
        <v>2398</v>
      </c>
    </row>
    <row r="86" spans="1:8" ht="19.5" thickBot="1">
      <c r="A86" s="576">
        <v>3950</v>
      </c>
      <c r="B86" s="576" t="s">
        <v>372</v>
      </c>
      <c r="C86" s="577" t="s">
        <v>542</v>
      </c>
      <c r="D86" s="576">
        <v>58</v>
      </c>
      <c r="E86" s="578" t="s">
        <v>543</v>
      </c>
      <c r="F86" s="579" t="s">
        <v>78</v>
      </c>
      <c r="G86" s="580">
        <v>8000000</v>
      </c>
      <c r="H86" s="581" t="s">
        <v>2399</v>
      </c>
    </row>
    <row r="87" spans="1:8" ht="19.5" thickBot="1">
      <c r="A87" s="602" t="s">
        <v>4125</v>
      </c>
      <c r="B87" s="603"/>
      <c r="C87" s="603"/>
      <c r="D87" s="603"/>
      <c r="E87" s="603"/>
      <c r="F87" s="603"/>
      <c r="G87" s="603"/>
      <c r="H87" s="604"/>
    </row>
    <row r="88" spans="1:8" ht="19.5" thickBot="1">
      <c r="A88" s="576">
        <v>4120</v>
      </c>
      <c r="B88" s="576" t="s">
        <v>157</v>
      </c>
      <c r="C88" s="577" t="s">
        <v>571</v>
      </c>
      <c r="D88" s="576">
        <v>62</v>
      </c>
      <c r="E88" s="578" t="s">
        <v>573</v>
      </c>
      <c r="F88" s="579" t="s">
        <v>78</v>
      </c>
      <c r="G88" s="580">
        <v>4500000</v>
      </c>
      <c r="H88" s="581" t="s">
        <v>2403</v>
      </c>
    </row>
    <row r="89" spans="1:8" ht="41.25" customHeight="1" thickBot="1">
      <c r="A89" s="576">
        <v>4120</v>
      </c>
      <c r="B89" s="576" t="s">
        <v>157</v>
      </c>
      <c r="C89" s="577" t="s">
        <v>558</v>
      </c>
      <c r="D89" s="576">
        <v>62</v>
      </c>
      <c r="E89" s="578" t="s">
        <v>559</v>
      </c>
      <c r="F89" s="579" t="s">
        <v>78</v>
      </c>
      <c r="G89" s="580">
        <v>6700000</v>
      </c>
      <c r="H89" s="581" t="s">
        <v>2403</v>
      </c>
    </row>
    <row r="90" spans="1:8" ht="39.75" customHeight="1" thickBot="1">
      <c r="A90" s="576">
        <v>4120</v>
      </c>
      <c r="B90" s="576" t="s">
        <v>372</v>
      </c>
      <c r="C90" s="577" t="s">
        <v>566</v>
      </c>
      <c r="D90" s="576">
        <v>60</v>
      </c>
      <c r="E90" s="578" t="s">
        <v>567</v>
      </c>
      <c r="F90" s="579" t="s">
        <v>78</v>
      </c>
      <c r="G90" s="580">
        <v>11000000</v>
      </c>
      <c r="H90" s="581" t="s">
        <v>2403</v>
      </c>
    </row>
    <row r="91" spans="1:8" ht="38.25" thickBot="1">
      <c r="A91" s="537" t="s">
        <v>10</v>
      </c>
      <c r="B91" s="537" t="s">
        <v>2</v>
      </c>
      <c r="C91" s="537" t="s">
        <v>3</v>
      </c>
      <c r="D91" s="537" t="s">
        <v>4</v>
      </c>
      <c r="E91" s="537" t="s">
        <v>2754</v>
      </c>
      <c r="F91" s="538" t="s">
        <v>3600</v>
      </c>
      <c r="G91" s="538" t="s">
        <v>7</v>
      </c>
      <c r="H91" s="538" t="s">
        <v>8</v>
      </c>
    </row>
    <row r="92" spans="1:8" ht="38.25" thickBot="1">
      <c r="A92" s="576">
        <v>4120</v>
      </c>
      <c r="B92" s="576" t="s">
        <v>157</v>
      </c>
      <c r="C92" s="577" t="s">
        <v>577</v>
      </c>
      <c r="D92" s="576">
        <v>61</v>
      </c>
      <c r="E92" s="578" t="s">
        <v>578</v>
      </c>
      <c r="F92" s="579" t="s">
        <v>78</v>
      </c>
      <c r="G92" s="580">
        <v>2000000</v>
      </c>
      <c r="H92" s="581" t="s">
        <v>2403</v>
      </c>
    </row>
    <row r="93" spans="1:8" ht="38.25" thickBot="1">
      <c r="A93" s="576">
        <v>4120</v>
      </c>
      <c r="B93" s="576" t="s">
        <v>157</v>
      </c>
      <c r="C93" s="577" t="s">
        <v>583</v>
      </c>
      <c r="D93" s="576">
        <v>59</v>
      </c>
      <c r="E93" s="578" t="s">
        <v>584</v>
      </c>
      <c r="F93" s="579" t="s">
        <v>78</v>
      </c>
      <c r="G93" s="580">
        <v>2500000</v>
      </c>
      <c r="H93" s="581" t="s">
        <v>2403</v>
      </c>
    </row>
    <row r="94" spans="1:8" ht="19.5" thickBot="1">
      <c r="A94" s="576">
        <v>4120</v>
      </c>
      <c r="B94" s="576" t="s">
        <v>157</v>
      </c>
      <c r="C94" s="577" t="s">
        <v>606</v>
      </c>
      <c r="D94" s="576">
        <v>58</v>
      </c>
      <c r="E94" s="578" t="s">
        <v>607</v>
      </c>
      <c r="F94" s="579" t="s">
        <v>78</v>
      </c>
      <c r="G94" s="580">
        <v>105000</v>
      </c>
      <c r="H94" s="581" t="s">
        <v>2403</v>
      </c>
    </row>
    <row r="95" spans="1:8" ht="19.5" thickBot="1">
      <c r="A95" s="576">
        <v>4120</v>
      </c>
      <c r="B95" s="576" t="s">
        <v>157</v>
      </c>
      <c r="C95" s="577" t="s">
        <v>613</v>
      </c>
      <c r="D95" s="576">
        <v>58</v>
      </c>
      <c r="E95" s="578" t="s">
        <v>614</v>
      </c>
      <c r="F95" s="579" t="s">
        <v>78</v>
      </c>
      <c r="G95" s="580">
        <v>195000</v>
      </c>
      <c r="H95" s="581" t="s">
        <v>2403</v>
      </c>
    </row>
    <row r="96" spans="1:8" ht="19.5" thickBot="1">
      <c r="A96" s="576">
        <v>4120</v>
      </c>
      <c r="B96" s="576" t="s">
        <v>157</v>
      </c>
      <c r="C96" s="577" t="s">
        <v>589</v>
      </c>
      <c r="D96" s="576">
        <v>58</v>
      </c>
      <c r="E96" s="578" t="s">
        <v>591</v>
      </c>
      <c r="F96" s="579" t="s">
        <v>78</v>
      </c>
      <c r="G96" s="580">
        <v>220000</v>
      </c>
      <c r="H96" s="581" t="s">
        <v>2403</v>
      </c>
    </row>
    <row r="97" spans="1:8" ht="19.5" thickBot="1">
      <c r="A97" s="576">
        <v>4120</v>
      </c>
      <c r="B97" s="576" t="s">
        <v>157</v>
      </c>
      <c r="C97" s="577" t="s">
        <v>594</v>
      </c>
      <c r="D97" s="576">
        <v>60</v>
      </c>
      <c r="E97" s="578" t="s">
        <v>595</v>
      </c>
      <c r="F97" s="579" t="s">
        <v>78</v>
      </c>
      <c r="G97" s="580">
        <v>320000</v>
      </c>
      <c r="H97" s="581" t="s">
        <v>2403</v>
      </c>
    </row>
    <row r="98" spans="1:8" ht="19.5" thickBot="1">
      <c r="A98" s="576">
        <v>4120</v>
      </c>
      <c r="B98" s="576" t="s">
        <v>157</v>
      </c>
      <c r="C98" s="577" t="s">
        <v>600</v>
      </c>
      <c r="D98" s="576">
        <v>58</v>
      </c>
      <c r="E98" s="578" t="s">
        <v>601</v>
      </c>
      <c r="F98" s="579" t="s">
        <v>78</v>
      </c>
      <c r="G98" s="580">
        <v>520000</v>
      </c>
      <c r="H98" s="581" t="s">
        <v>2403</v>
      </c>
    </row>
    <row r="99" spans="1:8" ht="19.5" thickBot="1">
      <c r="A99" s="576">
        <v>4120</v>
      </c>
      <c r="B99" s="576" t="s">
        <v>157</v>
      </c>
      <c r="C99" s="577" t="s">
        <v>618</v>
      </c>
      <c r="D99" s="576">
        <v>59</v>
      </c>
      <c r="E99" s="578" t="s">
        <v>619</v>
      </c>
      <c r="F99" s="579" t="s">
        <v>78</v>
      </c>
      <c r="G99" s="580">
        <v>70000</v>
      </c>
      <c r="H99" s="581" t="s">
        <v>2403</v>
      </c>
    </row>
    <row r="100" spans="1:8" ht="19.5" thickBot="1">
      <c r="A100" s="576">
        <v>4120</v>
      </c>
      <c r="B100" s="576" t="s">
        <v>157</v>
      </c>
      <c r="C100" s="577" t="s">
        <v>624</v>
      </c>
      <c r="D100" s="576">
        <v>58</v>
      </c>
      <c r="E100" s="578" t="s">
        <v>625</v>
      </c>
      <c r="F100" s="579" t="s">
        <v>78</v>
      </c>
      <c r="G100" s="580">
        <v>56000</v>
      </c>
      <c r="H100" s="581" t="s">
        <v>2403</v>
      </c>
    </row>
    <row r="101" spans="1:8" ht="38.25" thickBot="1">
      <c r="A101" s="576">
        <v>4120</v>
      </c>
      <c r="B101" s="576" t="s">
        <v>157</v>
      </c>
      <c r="C101" s="577" t="s">
        <v>637</v>
      </c>
      <c r="D101" s="576">
        <v>62</v>
      </c>
      <c r="E101" s="578" t="s">
        <v>638</v>
      </c>
      <c r="F101" s="579" t="s">
        <v>78</v>
      </c>
      <c r="G101" s="580">
        <v>75000</v>
      </c>
      <c r="H101" s="581" t="s">
        <v>2403</v>
      </c>
    </row>
    <row r="102" spans="1:8" ht="19.5" thickBot="1">
      <c r="A102" s="576">
        <v>4120</v>
      </c>
      <c r="B102" s="576" t="s">
        <v>157</v>
      </c>
      <c r="C102" s="577" t="s">
        <v>641</v>
      </c>
      <c r="D102" s="576">
        <v>59</v>
      </c>
      <c r="E102" s="578" t="s">
        <v>642</v>
      </c>
      <c r="F102" s="579" t="s">
        <v>78</v>
      </c>
      <c r="G102" s="580">
        <v>53300</v>
      </c>
      <c r="H102" s="581" t="s">
        <v>2403</v>
      </c>
    </row>
    <row r="103" spans="1:8" ht="19.5" thickBot="1">
      <c r="A103" s="576">
        <v>4120</v>
      </c>
      <c r="B103" s="576" t="s">
        <v>157</v>
      </c>
      <c r="C103" s="577" t="s">
        <v>647</v>
      </c>
      <c r="D103" s="576">
        <v>58</v>
      </c>
      <c r="E103" s="578" t="s">
        <v>648</v>
      </c>
      <c r="F103" s="579" t="s">
        <v>78</v>
      </c>
      <c r="G103" s="580">
        <v>57000</v>
      </c>
      <c r="H103" s="581" t="s">
        <v>2403</v>
      </c>
    </row>
    <row r="104" spans="1:8" ht="19.5" thickBot="1">
      <c r="A104" s="576">
        <v>4120</v>
      </c>
      <c r="B104" s="576" t="s">
        <v>157</v>
      </c>
      <c r="C104" s="577" t="s">
        <v>653</v>
      </c>
      <c r="D104" s="576">
        <v>58</v>
      </c>
      <c r="E104" s="578" t="s">
        <v>654</v>
      </c>
      <c r="F104" s="579" t="s">
        <v>78</v>
      </c>
      <c r="G104" s="580">
        <v>48000</v>
      </c>
      <c r="H104" s="581" t="s">
        <v>2403</v>
      </c>
    </row>
    <row r="105" spans="1:8" ht="19.5" thickBot="1">
      <c r="A105" s="576">
        <v>4120</v>
      </c>
      <c r="B105" s="576" t="s">
        <v>157</v>
      </c>
      <c r="C105" s="577" t="s">
        <v>657</v>
      </c>
      <c r="D105" s="576">
        <v>61</v>
      </c>
      <c r="E105" s="578" t="s">
        <v>658</v>
      </c>
      <c r="F105" s="579" t="s">
        <v>78</v>
      </c>
      <c r="G105" s="580">
        <v>58000</v>
      </c>
      <c r="H105" s="581" t="s">
        <v>2403</v>
      </c>
    </row>
    <row r="106" spans="1:8" ht="19.5" thickBot="1">
      <c r="A106" s="576">
        <v>4120</v>
      </c>
      <c r="B106" s="576" t="s">
        <v>157</v>
      </c>
      <c r="C106" s="577" t="s">
        <v>663</v>
      </c>
      <c r="D106" s="576">
        <v>62</v>
      </c>
      <c r="E106" s="578" t="s">
        <v>664</v>
      </c>
      <c r="F106" s="579" t="s">
        <v>78</v>
      </c>
      <c r="G106" s="580">
        <v>61000</v>
      </c>
      <c r="H106" s="581" t="s">
        <v>2403</v>
      </c>
    </row>
    <row r="107" spans="1:8" ht="19.5" thickBot="1">
      <c r="A107" s="576">
        <v>4120</v>
      </c>
      <c r="B107" s="576" t="s">
        <v>157</v>
      </c>
      <c r="C107" s="577" t="s">
        <v>630</v>
      </c>
      <c r="D107" s="576">
        <v>58</v>
      </c>
      <c r="E107" s="578" t="s">
        <v>665</v>
      </c>
      <c r="F107" s="579" t="s">
        <v>78</v>
      </c>
      <c r="G107" s="580">
        <v>70000</v>
      </c>
      <c r="H107" s="581" t="s">
        <v>2403</v>
      </c>
    </row>
    <row r="108" spans="1:8" ht="19.5" thickBot="1">
      <c r="A108" s="576">
        <v>4120</v>
      </c>
      <c r="B108" s="576" t="s">
        <v>157</v>
      </c>
      <c r="C108" s="577" t="s">
        <v>668</v>
      </c>
      <c r="D108" s="576">
        <v>58</v>
      </c>
      <c r="E108" s="578" t="s">
        <v>669</v>
      </c>
      <c r="F108" s="579" t="s">
        <v>78</v>
      </c>
      <c r="G108" s="580">
        <v>210000</v>
      </c>
      <c r="H108" s="581" t="s">
        <v>2403</v>
      </c>
    </row>
    <row r="109" spans="1:8" ht="19.5" thickBot="1">
      <c r="A109" s="576">
        <v>4120</v>
      </c>
      <c r="B109" s="576" t="s">
        <v>157</v>
      </c>
      <c r="C109" s="577" t="s">
        <v>666</v>
      </c>
      <c r="D109" s="576">
        <v>62</v>
      </c>
      <c r="E109" s="605" t="s">
        <v>667</v>
      </c>
      <c r="F109" s="579" t="s">
        <v>78</v>
      </c>
      <c r="G109" s="580">
        <v>81300</v>
      </c>
      <c r="H109" s="581" t="s">
        <v>2403</v>
      </c>
    </row>
    <row r="110" spans="1:8" ht="19.5" thickBot="1">
      <c r="A110" s="576">
        <v>4120</v>
      </c>
      <c r="B110" s="576" t="s">
        <v>157</v>
      </c>
      <c r="C110" s="577" t="s">
        <v>670</v>
      </c>
      <c r="D110" s="576">
        <v>58</v>
      </c>
      <c r="E110" s="578" t="s">
        <v>671</v>
      </c>
      <c r="F110" s="579" t="s">
        <v>78</v>
      </c>
      <c r="G110" s="580">
        <v>295000</v>
      </c>
      <c r="H110" s="581" t="s">
        <v>2403</v>
      </c>
    </row>
    <row r="111" spans="1:8" ht="19.5" thickBot="1">
      <c r="A111" s="576">
        <v>4120</v>
      </c>
      <c r="B111" s="576" t="s">
        <v>157</v>
      </c>
      <c r="C111" s="577" t="s">
        <v>672</v>
      </c>
      <c r="D111" s="576">
        <v>58</v>
      </c>
      <c r="E111" s="578" t="s">
        <v>673</v>
      </c>
      <c r="F111" s="579" t="s">
        <v>78</v>
      </c>
      <c r="G111" s="580">
        <v>385000</v>
      </c>
      <c r="H111" s="581" t="s">
        <v>2403</v>
      </c>
    </row>
    <row r="112" spans="1:8" ht="24" customHeight="1" thickBot="1">
      <c r="A112" s="576">
        <v>4120</v>
      </c>
      <c r="B112" s="576" t="s">
        <v>157</v>
      </c>
      <c r="C112" s="577" t="s">
        <v>674</v>
      </c>
      <c r="D112" s="576">
        <v>59</v>
      </c>
      <c r="E112" s="578" t="s">
        <v>675</v>
      </c>
      <c r="F112" s="579" t="s">
        <v>78</v>
      </c>
      <c r="G112" s="580">
        <v>750000</v>
      </c>
      <c r="H112" s="581" t="s">
        <v>2403</v>
      </c>
    </row>
    <row r="113" spans="1:8" ht="19.5" thickBot="1">
      <c r="A113" s="576">
        <v>4140</v>
      </c>
      <c r="B113" s="576" t="s">
        <v>157</v>
      </c>
      <c r="C113" s="577" t="s">
        <v>676</v>
      </c>
      <c r="D113" s="576">
        <v>52</v>
      </c>
      <c r="E113" s="578" t="s">
        <v>677</v>
      </c>
      <c r="F113" s="579" t="s">
        <v>78</v>
      </c>
      <c r="G113" s="580">
        <v>12000</v>
      </c>
      <c r="H113" s="581" t="s">
        <v>2404</v>
      </c>
    </row>
    <row r="114" spans="1:8" ht="19.5" thickBot="1">
      <c r="A114" s="576">
        <v>4140</v>
      </c>
      <c r="B114" s="576" t="s">
        <v>372</v>
      </c>
      <c r="C114" s="577" t="s">
        <v>678</v>
      </c>
      <c r="D114" s="576">
        <v>56</v>
      </c>
      <c r="E114" s="578" t="s">
        <v>679</v>
      </c>
      <c r="F114" s="579" t="s">
        <v>48</v>
      </c>
      <c r="G114" s="580">
        <v>35000</v>
      </c>
      <c r="H114" s="581" t="s">
        <v>2404</v>
      </c>
    </row>
    <row r="115" spans="1:8" ht="23.25" customHeight="1" thickBot="1">
      <c r="A115" s="576">
        <v>4140</v>
      </c>
      <c r="B115" s="576" t="s">
        <v>157</v>
      </c>
      <c r="C115" s="577" t="s">
        <v>681</v>
      </c>
      <c r="D115" s="576">
        <v>58</v>
      </c>
      <c r="E115" s="578" t="s">
        <v>682</v>
      </c>
      <c r="F115" s="579" t="s">
        <v>78</v>
      </c>
      <c r="G115" s="580">
        <v>19500</v>
      </c>
      <c r="H115" s="581" t="s">
        <v>2404</v>
      </c>
    </row>
    <row r="116" spans="1:8" s="440" customFormat="1" ht="19.5" thickBot="1">
      <c r="A116" s="602" t="s">
        <v>4126</v>
      </c>
      <c r="B116" s="603"/>
      <c r="C116" s="603"/>
      <c r="D116" s="603"/>
      <c r="E116" s="603"/>
      <c r="F116" s="603"/>
      <c r="G116" s="603"/>
      <c r="H116" s="604"/>
    </row>
    <row r="117" spans="1:8" ht="19.5" thickBot="1">
      <c r="A117" s="576">
        <v>4210</v>
      </c>
      <c r="B117" s="576" t="s">
        <v>683</v>
      </c>
      <c r="C117" s="577" t="s">
        <v>684</v>
      </c>
      <c r="D117" s="576">
        <v>62</v>
      </c>
      <c r="E117" s="578" t="s">
        <v>685</v>
      </c>
      <c r="F117" s="579" t="s">
        <v>78</v>
      </c>
      <c r="G117" s="580">
        <v>12000</v>
      </c>
      <c r="H117" s="581" t="s">
        <v>2405</v>
      </c>
    </row>
    <row r="118" spans="1:8" ht="19.5" thickBot="1">
      <c r="A118" s="576">
        <v>4210</v>
      </c>
      <c r="B118" s="576" t="s">
        <v>683</v>
      </c>
      <c r="C118" s="577" t="s">
        <v>686</v>
      </c>
      <c r="D118" s="576">
        <v>62</v>
      </c>
      <c r="E118" s="578" t="s">
        <v>687</v>
      </c>
      <c r="F118" s="579" t="s">
        <v>78</v>
      </c>
      <c r="G118" s="580">
        <v>15000</v>
      </c>
      <c r="H118" s="581" t="s">
        <v>2405</v>
      </c>
    </row>
    <row r="119" spans="1:8" ht="19.5" thickBot="1">
      <c r="A119" s="576">
        <v>4210</v>
      </c>
      <c r="B119" s="576" t="s">
        <v>683</v>
      </c>
      <c r="C119" s="577" t="s">
        <v>688</v>
      </c>
      <c r="D119" s="576">
        <v>60</v>
      </c>
      <c r="E119" s="578" t="s">
        <v>689</v>
      </c>
      <c r="F119" s="579" t="s">
        <v>28</v>
      </c>
      <c r="G119" s="580">
        <v>6900000</v>
      </c>
      <c r="H119" s="581" t="s">
        <v>2405</v>
      </c>
    </row>
    <row r="120" spans="1:8" ht="19.5" thickBot="1">
      <c r="A120" s="576">
        <v>4210</v>
      </c>
      <c r="B120" s="576" t="s">
        <v>683</v>
      </c>
      <c r="C120" s="577" t="s">
        <v>4171</v>
      </c>
      <c r="D120" s="576">
        <v>62</v>
      </c>
      <c r="E120" s="578" t="s">
        <v>4172</v>
      </c>
      <c r="F120" s="579" t="s">
        <v>28</v>
      </c>
      <c r="G120" s="580">
        <v>1200000</v>
      </c>
      <c r="H120" s="581" t="s">
        <v>2405</v>
      </c>
    </row>
    <row r="121" spans="1:8" ht="19.5" thickBot="1">
      <c r="A121" s="576">
        <v>4210</v>
      </c>
      <c r="B121" s="576" t="s">
        <v>683</v>
      </c>
      <c r="C121" s="577" t="s">
        <v>692</v>
      </c>
      <c r="D121" s="576">
        <v>60</v>
      </c>
      <c r="E121" s="578" t="s">
        <v>693</v>
      </c>
      <c r="F121" s="579" t="s">
        <v>28</v>
      </c>
      <c r="G121" s="580">
        <v>2500000</v>
      </c>
      <c r="H121" s="581" t="s">
        <v>2405</v>
      </c>
    </row>
    <row r="122" spans="1:8" ht="19.5" thickBot="1">
      <c r="A122" s="576">
        <v>4210</v>
      </c>
      <c r="B122" s="576" t="s">
        <v>37</v>
      </c>
      <c r="C122" s="577" t="s">
        <v>702</v>
      </c>
      <c r="D122" s="576">
        <v>58</v>
      </c>
      <c r="E122" s="578" t="s">
        <v>703</v>
      </c>
      <c r="F122" s="579" t="s">
        <v>704</v>
      </c>
      <c r="G122" s="580">
        <v>1490000</v>
      </c>
      <c r="H122" s="581">
        <v>4210</v>
      </c>
    </row>
    <row r="123" spans="1:8" ht="38.25" thickBot="1">
      <c r="A123" s="537" t="s">
        <v>10</v>
      </c>
      <c r="B123" s="537" t="s">
        <v>2</v>
      </c>
      <c r="C123" s="537" t="s">
        <v>3</v>
      </c>
      <c r="D123" s="537" t="s">
        <v>4</v>
      </c>
      <c r="E123" s="537" t="s">
        <v>2754</v>
      </c>
      <c r="F123" s="538" t="s">
        <v>3600</v>
      </c>
      <c r="G123" s="538" t="s">
        <v>7</v>
      </c>
      <c r="H123" s="538" t="s">
        <v>8</v>
      </c>
    </row>
    <row r="124" spans="1:8" ht="19.5" thickBot="1">
      <c r="A124" s="576">
        <v>4210</v>
      </c>
      <c r="B124" s="576" t="s">
        <v>683</v>
      </c>
      <c r="C124" s="577" t="s">
        <v>694</v>
      </c>
      <c r="D124" s="576">
        <v>59</v>
      </c>
      <c r="E124" s="578" t="s">
        <v>695</v>
      </c>
      <c r="F124" s="579" t="s">
        <v>28</v>
      </c>
      <c r="G124" s="580">
        <v>32000000</v>
      </c>
      <c r="H124" s="581" t="s">
        <v>2405</v>
      </c>
    </row>
    <row r="125" spans="1:8" ht="19.5" thickBot="1">
      <c r="A125" s="576">
        <v>4210</v>
      </c>
      <c r="B125" s="576" t="s">
        <v>683</v>
      </c>
      <c r="C125" s="577" t="s">
        <v>4161</v>
      </c>
      <c r="D125" s="576">
        <v>59</v>
      </c>
      <c r="E125" s="578" t="s">
        <v>697</v>
      </c>
      <c r="F125" s="579" t="s">
        <v>28</v>
      </c>
      <c r="G125" s="580">
        <v>12000000</v>
      </c>
      <c r="H125" s="581" t="s">
        <v>2405</v>
      </c>
    </row>
    <row r="126" spans="1:8" ht="19.5" thickBot="1">
      <c r="A126" s="576">
        <v>4210</v>
      </c>
      <c r="B126" s="576" t="s">
        <v>683</v>
      </c>
      <c r="C126" s="577" t="s">
        <v>698</v>
      </c>
      <c r="D126" s="576">
        <v>62</v>
      </c>
      <c r="E126" s="578" t="s">
        <v>699</v>
      </c>
      <c r="F126" s="579" t="s">
        <v>28</v>
      </c>
      <c r="G126" s="580">
        <v>3500000</v>
      </c>
      <c r="H126" s="581" t="s">
        <v>2405</v>
      </c>
    </row>
    <row r="127" spans="1:8" ht="38.25" thickBot="1">
      <c r="A127" s="576">
        <v>4210</v>
      </c>
      <c r="B127" s="576" t="s">
        <v>683</v>
      </c>
      <c r="C127" s="577" t="s">
        <v>705</v>
      </c>
      <c r="D127" s="576">
        <v>62</v>
      </c>
      <c r="E127" s="578" t="s">
        <v>706</v>
      </c>
      <c r="F127" s="579" t="s">
        <v>707</v>
      </c>
      <c r="G127" s="580">
        <v>14700</v>
      </c>
      <c r="H127" s="581" t="s">
        <v>2405</v>
      </c>
    </row>
    <row r="128" spans="1:8" ht="38.25" thickBot="1">
      <c r="A128" s="576">
        <v>4210</v>
      </c>
      <c r="B128" s="576" t="s">
        <v>683</v>
      </c>
      <c r="C128" s="577" t="s">
        <v>708</v>
      </c>
      <c r="D128" s="576">
        <v>62</v>
      </c>
      <c r="E128" s="578" t="s">
        <v>709</v>
      </c>
      <c r="F128" s="579" t="s">
        <v>707</v>
      </c>
      <c r="G128" s="580">
        <v>16200</v>
      </c>
      <c r="H128" s="581" t="s">
        <v>2405</v>
      </c>
    </row>
    <row r="129" spans="1:8" ht="19.5" thickBot="1">
      <c r="A129" s="576">
        <v>4210</v>
      </c>
      <c r="B129" s="576" t="s">
        <v>683</v>
      </c>
      <c r="C129" s="577" t="s">
        <v>710</v>
      </c>
      <c r="D129" s="576">
        <v>54</v>
      </c>
      <c r="E129" s="578" t="s">
        <v>711</v>
      </c>
      <c r="F129" s="579" t="s">
        <v>712</v>
      </c>
      <c r="G129" s="580">
        <v>33000</v>
      </c>
      <c r="H129" s="581" t="s">
        <v>2405</v>
      </c>
    </row>
    <row r="130" spans="1:8" ht="19.5" thickBot="1">
      <c r="A130" s="576">
        <v>4210</v>
      </c>
      <c r="B130" s="576" t="s">
        <v>683</v>
      </c>
      <c r="C130" s="577" t="s">
        <v>714</v>
      </c>
      <c r="D130" s="576">
        <v>54</v>
      </c>
      <c r="E130" s="578" t="s">
        <v>715</v>
      </c>
      <c r="F130" s="579" t="s">
        <v>712</v>
      </c>
      <c r="G130" s="580">
        <v>39600</v>
      </c>
      <c r="H130" s="581" t="s">
        <v>2405</v>
      </c>
    </row>
    <row r="131" spans="1:8" ht="19.5" thickBot="1">
      <c r="A131" s="576">
        <v>4210</v>
      </c>
      <c r="B131" s="576" t="s">
        <v>256</v>
      </c>
      <c r="C131" s="577" t="s">
        <v>717</v>
      </c>
      <c r="D131" s="576">
        <v>57</v>
      </c>
      <c r="E131" s="578" t="s">
        <v>718</v>
      </c>
      <c r="F131" s="579" t="s">
        <v>78</v>
      </c>
      <c r="G131" s="580">
        <v>40000</v>
      </c>
      <c r="H131" s="579"/>
    </row>
    <row r="132" spans="1:8" ht="19.5" thickBot="1">
      <c r="A132" s="602" t="s">
        <v>4127</v>
      </c>
      <c r="B132" s="603"/>
      <c r="C132" s="603"/>
      <c r="D132" s="603"/>
      <c r="E132" s="603"/>
      <c r="F132" s="603"/>
      <c r="G132" s="603"/>
      <c r="H132" s="604"/>
    </row>
    <row r="133" spans="1:8" ht="19.5" thickBot="1">
      <c r="A133" s="576">
        <v>4310</v>
      </c>
      <c r="B133" s="576" t="s">
        <v>157</v>
      </c>
      <c r="C133" s="577" t="s">
        <v>722</v>
      </c>
      <c r="D133" s="576">
        <v>53</v>
      </c>
      <c r="E133" s="578" t="s">
        <v>724</v>
      </c>
      <c r="F133" s="579" t="s">
        <v>78</v>
      </c>
      <c r="G133" s="580">
        <v>9500</v>
      </c>
      <c r="H133" s="581" t="s">
        <v>2407</v>
      </c>
    </row>
    <row r="134" spans="1:8" ht="19.5" thickBot="1">
      <c r="A134" s="576">
        <v>4310</v>
      </c>
      <c r="B134" s="576" t="s">
        <v>157</v>
      </c>
      <c r="C134" s="577" t="s">
        <v>749</v>
      </c>
      <c r="D134" s="576">
        <v>54</v>
      </c>
      <c r="E134" s="578" t="s">
        <v>751</v>
      </c>
      <c r="F134" s="579" t="s">
        <v>78</v>
      </c>
      <c r="G134" s="580">
        <v>28000</v>
      </c>
      <c r="H134" s="581" t="s">
        <v>2407</v>
      </c>
    </row>
    <row r="135" spans="1:8" ht="26.25" customHeight="1" thickBot="1">
      <c r="A135" s="576">
        <v>4310</v>
      </c>
      <c r="B135" s="576" t="s">
        <v>157</v>
      </c>
      <c r="C135" s="577" t="s">
        <v>763</v>
      </c>
      <c r="D135" s="576">
        <v>55</v>
      </c>
      <c r="E135" s="578" t="s">
        <v>764</v>
      </c>
      <c r="F135" s="579" t="s">
        <v>78</v>
      </c>
      <c r="G135" s="580">
        <v>29500</v>
      </c>
      <c r="H135" s="581" t="s">
        <v>2407</v>
      </c>
    </row>
    <row r="136" spans="1:8" ht="22.5" customHeight="1" thickBot="1">
      <c r="A136" s="576">
        <v>4310</v>
      </c>
      <c r="B136" s="576" t="s">
        <v>157</v>
      </c>
      <c r="C136" s="577" t="s">
        <v>775</v>
      </c>
      <c r="D136" s="576">
        <v>53</v>
      </c>
      <c r="E136" s="578" t="s">
        <v>776</v>
      </c>
      <c r="F136" s="579" t="s">
        <v>78</v>
      </c>
      <c r="G136" s="580">
        <v>165000</v>
      </c>
      <c r="H136" s="581" t="s">
        <v>2407</v>
      </c>
    </row>
    <row r="137" spans="1:8" ht="19.5" thickBot="1">
      <c r="A137" s="576">
        <v>4310</v>
      </c>
      <c r="B137" s="576" t="s">
        <v>683</v>
      </c>
      <c r="C137" s="577" t="s">
        <v>738</v>
      </c>
      <c r="D137" s="576">
        <v>62</v>
      </c>
      <c r="E137" s="578" t="s">
        <v>739</v>
      </c>
      <c r="F137" s="579" t="s">
        <v>78</v>
      </c>
      <c r="G137" s="580">
        <v>450000</v>
      </c>
      <c r="H137" s="581">
        <v>4310</v>
      </c>
    </row>
    <row r="138" spans="1:8" ht="24" customHeight="1" thickBot="1">
      <c r="A138" s="576">
        <v>4320</v>
      </c>
      <c r="B138" s="576" t="s">
        <v>256</v>
      </c>
      <c r="C138" s="577" t="s">
        <v>837</v>
      </c>
      <c r="D138" s="576">
        <v>54</v>
      </c>
      <c r="E138" s="578" t="s">
        <v>838</v>
      </c>
      <c r="F138" s="579" t="s">
        <v>78</v>
      </c>
      <c r="G138" s="580">
        <v>950000</v>
      </c>
      <c r="H138" s="581" t="s">
        <v>2409</v>
      </c>
    </row>
    <row r="139" spans="1:8" ht="24.75" customHeight="1" thickBot="1">
      <c r="A139" s="576">
        <v>4320</v>
      </c>
      <c r="B139" s="576" t="s">
        <v>256</v>
      </c>
      <c r="C139" s="577" t="s">
        <v>850</v>
      </c>
      <c r="D139" s="576">
        <v>54</v>
      </c>
      <c r="E139" s="578" t="s">
        <v>851</v>
      </c>
      <c r="F139" s="579" t="s">
        <v>78</v>
      </c>
      <c r="G139" s="580">
        <v>406800</v>
      </c>
      <c r="H139" s="581" t="s">
        <v>2409</v>
      </c>
    </row>
    <row r="140" spans="1:8" ht="19.5" thickBot="1">
      <c r="A140" s="576">
        <v>4320</v>
      </c>
      <c r="B140" s="576" t="s">
        <v>256</v>
      </c>
      <c r="C140" s="577" t="s">
        <v>791</v>
      </c>
      <c r="D140" s="576">
        <v>53</v>
      </c>
      <c r="E140" s="578" t="s">
        <v>792</v>
      </c>
      <c r="F140" s="579" t="s">
        <v>78</v>
      </c>
      <c r="G140" s="580">
        <v>63400</v>
      </c>
      <c r="H140" s="581" t="s">
        <v>2409</v>
      </c>
    </row>
    <row r="141" spans="1:8" ht="19.5" thickBot="1">
      <c r="A141" s="576">
        <v>4320</v>
      </c>
      <c r="B141" s="576" t="s">
        <v>256</v>
      </c>
      <c r="C141" s="577" t="s">
        <v>4169</v>
      </c>
      <c r="D141" s="576">
        <v>62</v>
      </c>
      <c r="E141" s="578" t="s">
        <v>4170</v>
      </c>
      <c r="F141" s="579" t="s">
        <v>78</v>
      </c>
      <c r="G141" s="580">
        <v>9100</v>
      </c>
      <c r="H141" s="581" t="s">
        <v>2409</v>
      </c>
    </row>
    <row r="142" spans="1:8" ht="19.5" thickBot="1">
      <c r="A142" s="576">
        <v>4320</v>
      </c>
      <c r="B142" s="576" t="s">
        <v>256</v>
      </c>
      <c r="C142" s="577" t="s">
        <v>799</v>
      </c>
      <c r="D142" s="576">
        <v>55</v>
      </c>
      <c r="E142" s="578" t="s">
        <v>800</v>
      </c>
      <c r="F142" s="579" t="s">
        <v>78</v>
      </c>
      <c r="G142" s="580">
        <v>950000</v>
      </c>
      <c r="H142" s="579"/>
    </row>
    <row r="143" spans="1:8" ht="19.5" thickBot="1">
      <c r="A143" s="576">
        <v>4320</v>
      </c>
      <c r="B143" s="576" t="s">
        <v>256</v>
      </c>
      <c r="C143" s="577" t="s">
        <v>863</v>
      </c>
      <c r="D143" s="576">
        <v>53</v>
      </c>
      <c r="E143" s="578" t="s">
        <v>864</v>
      </c>
      <c r="F143" s="579" t="s">
        <v>78</v>
      </c>
      <c r="G143" s="580">
        <v>95000</v>
      </c>
      <c r="H143" s="581" t="s">
        <v>2409</v>
      </c>
    </row>
    <row r="144" spans="1:8" ht="19.5" thickBot="1">
      <c r="A144" s="576">
        <v>4320</v>
      </c>
      <c r="B144" s="576" t="s">
        <v>256</v>
      </c>
      <c r="C144" s="577" t="s">
        <v>865</v>
      </c>
      <c r="D144" s="576">
        <v>53</v>
      </c>
      <c r="E144" s="578" t="s">
        <v>866</v>
      </c>
      <c r="F144" s="579" t="s">
        <v>78</v>
      </c>
      <c r="G144" s="580">
        <v>120000</v>
      </c>
      <c r="H144" s="581" t="s">
        <v>2409</v>
      </c>
    </row>
    <row r="145" spans="1:8" ht="19.5" thickBot="1">
      <c r="A145" s="576">
        <v>4320</v>
      </c>
      <c r="B145" s="576" t="s">
        <v>256</v>
      </c>
      <c r="C145" s="577" t="s">
        <v>869</v>
      </c>
      <c r="D145" s="576">
        <v>53</v>
      </c>
      <c r="E145" s="578" t="s">
        <v>870</v>
      </c>
      <c r="F145" s="579" t="s">
        <v>78</v>
      </c>
      <c r="G145" s="580">
        <v>140000</v>
      </c>
      <c r="H145" s="581" t="s">
        <v>2409</v>
      </c>
    </row>
    <row r="146" spans="1:8" ht="19.5" thickBot="1">
      <c r="A146" s="576">
        <v>4320</v>
      </c>
      <c r="B146" s="576" t="s">
        <v>256</v>
      </c>
      <c r="C146" s="577" t="s">
        <v>861</v>
      </c>
      <c r="D146" s="576">
        <v>53</v>
      </c>
      <c r="E146" s="578" t="s">
        <v>862</v>
      </c>
      <c r="F146" s="579" t="s">
        <v>78</v>
      </c>
      <c r="G146" s="580">
        <v>150000</v>
      </c>
      <c r="H146" s="581" t="s">
        <v>2409</v>
      </c>
    </row>
    <row r="147" spans="1:8" ht="38.25" thickBot="1">
      <c r="A147" s="576">
        <v>4320</v>
      </c>
      <c r="B147" s="576" t="s">
        <v>256</v>
      </c>
      <c r="C147" s="577" t="s">
        <v>873</v>
      </c>
      <c r="D147" s="576">
        <v>57</v>
      </c>
      <c r="E147" s="578" t="s">
        <v>874</v>
      </c>
      <c r="F147" s="579" t="s">
        <v>78</v>
      </c>
      <c r="G147" s="580">
        <v>15000</v>
      </c>
      <c r="H147" s="581" t="s">
        <v>2409</v>
      </c>
    </row>
    <row r="148" spans="1:8" ht="19.5" thickBot="1">
      <c r="A148" s="576">
        <v>4320</v>
      </c>
      <c r="B148" s="576" t="s">
        <v>256</v>
      </c>
      <c r="C148" s="577" t="s">
        <v>871</v>
      </c>
      <c r="D148" s="576">
        <v>54</v>
      </c>
      <c r="E148" s="578" t="s">
        <v>872</v>
      </c>
      <c r="F148" s="579" t="s">
        <v>78</v>
      </c>
      <c r="G148" s="580">
        <v>30000</v>
      </c>
      <c r="H148" s="581" t="s">
        <v>2409</v>
      </c>
    </row>
    <row r="149" spans="1:8" ht="19.5" thickBot="1">
      <c r="A149" s="576">
        <v>4320</v>
      </c>
      <c r="B149" s="576" t="s">
        <v>256</v>
      </c>
      <c r="C149" s="577" t="s">
        <v>875</v>
      </c>
      <c r="D149" s="576">
        <v>57</v>
      </c>
      <c r="E149" s="578" t="s">
        <v>876</v>
      </c>
      <c r="F149" s="579" t="s">
        <v>78</v>
      </c>
      <c r="G149" s="580">
        <v>1400000</v>
      </c>
      <c r="H149" s="581" t="s">
        <v>2409</v>
      </c>
    </row>
    <row r="150" spans="1:8" ht="19.5" thickBot="1">
      <c r="A150" s="576">
        <v>4320</v>
      </c>
      <c r="B150" s="576" t="s">
        <v>256</v>
      </c>
      <c r="C150" s="577" t="s">
        <v>877</v>
      </c>
      <c r="D150" s="576">
        <v>57</v>
      </c>
      <c r="E150" s="578" t="s">
        <v>878</v>
      </c>
      <c r="F150" s="579" t="s">
        <v>78</v>
      </c>
      <c r="G150" s="580">
        <v>1900000</v>
      </c>
      <c r="H150" s="581" t="s">
        <v>2409</v>
      </c>
    </row>
    <row r="151" spans="1:8" ht="38.25" thickBot="1">
      <c r="A151" s="576">
        <v>4320</v>
      </c>
      <c r="B151" s="576" t="s">
        <v>256</v>
      </c>
      <c r="C151" s="577" t="s">
        <v>880</v>
      </c>
      <c r="D151" s="576">
        <v>54</v>
      </c>
      <c r="E151" s="578" t="s">
        <v>881</v>
      </c>
      <c r="F151" s="579" t="s">
        <v>78</v>
      </c>
      <c r="G151" s="580">
        <v>91500</v>
      </c>
      <c r="H151" s="581" t="s">
        <v>2409</v>
      </c>
    </row>
    <row r="152" spans="1:8" ht="45.75" customHeight="1" thickBot="1">
      <c r="A152" s="576">
        <v>4320</v>
      </c>
      <c r="B152" s="576" t="s">
        <v>256</v>
      </c>
      <c r="C152" s="577" t="s">
        <v>882</v>
      </c>
      <c r="D152" s="576">
        <v>57</v>
      </c>
      <c r="E152" s="578" t="s">
        <v>883</v>
      </c>
      <c r="F152" s="579" t="s">
        <v>78</v>
      </c>
      <c r="G152" s="580">
        <v>400000</v>
      </c>
      <c r="H152" s="581" t="s">
        <v>2409</v>
      </c>
    </row>
    <row r="153" spans="1:8" ht="19.5" thickBot="1">
      <c r="A153" s="576">
        <v>4320</v>
      </c>
      <c r="B153" s="576" t="s">
        <v>256</v>
      </c>
      <c r="C153" s="577" t="s">
        <v>884</v>
      </c>
      <c r="D153" s="576">
        <v>59</v>
      </c>
      <c r="E153" s="578" t="s">
        <v>4114</v>
      </c>
      <c r="F153" s="579" t="s">
        <v>78</v>
      </c>
      <c r="G153" s="580">
        <v>40000</v>
      </c>
      <c r="H153" s="581" t="s">
        <v>2409</v>
      </c>
    </row>
    <row r="154" spans="1:8" ht="38.25" thickBot="1">
      <c r="A154" s="576">
        <v>4320</v>
      </c>
      <c r="B154" s="576" t="s">
        <v>256</v>
      </c>
      <c r="C154" s="577" t="s">
        <v>890</v>
      </c>
      <c r="D154" s="576">
        <v>57</v>
      </c>
      <c r="E154" s="578" t="s">
        <v>891</v>
      </c>
      <c r="F154" s="579" t="s">
        <v>78</v>
      </c>
      <c r="G154" s="580">
        <v>130000</v>
      </c>
      <c r="H154" s="581" t="s">
        <v>2409</v>
      </c>
    </row>
    <row r="155" spans="1:8" ht="38.25" thickBot="1">
      <c r="A155" s="576">
        <v>4320</v>
      </c>
      <c r="B155" s="576" t="s">
        <v>256</v>
      </c>
      <c r="C155" s="577" t="s">
        <v>887</v>
      </c>
      <c r="D155" s="576">
        <v>57</v>
      </c>
      <c r="E155" s="578" t="s">
        <v>4253</v>
      </c>
      <c r="F155" s="579" t="s">
        <v>78</v>
      </c>
      <c r="G155" s="580">
        <v>450000</v>
      </c>
      <c r="H155" s="581" t="s">
        <v>2409</v>
      </c>
    </row>
    <row r="156" spans="1:8" ht="19.5" thickBot="1">
      <c r="A156" s="576">
        <v>4320</v>
      </c>
      <c r="B156" s="576" t="s">
        <v>256</v>
      </c>
      <c r="C156" s="577" t="s">
        <v>900</v>
      </c>
      <c r="D156" s="576">
        <v>57</v>
      </c>
      <c r="E156" s="578" t="s">
        <v>901</v>
      </c>
      <c r="F156" s="579" t="s">
        <v>78</v>
      </c>
      <c r="G156" s="580">
        <v>45000</v>
      </c>
      <c r="H156" s="581" t="s">
        <v>2409</v>
      </c>
    </row>
    <row r="157" spans="1:8" ht="19.5" thickBot="1">
      <c r="A157" s="678">
        <v>4320</v>
      </c>
      <c r="B157" s="678" t="s">
        <v>256</v>
      </c>
      <c r="C157" s="679" t="s">
        <v>915</v>
      </c>
      <c r="D157" s="678">
        <v>54</v>
      </c>
      <c r="E157" s="680" t="s">
        <v>4190</v>
      </c>
      <c r="F157" s="681" t="s">
        <v>78</v>
      </c>
      <c r="G157" s="682">
        <v>45000</v>
      </c>
      <c r="H157" s="683" t="s">
        <v>2409</v>
      </c>
    </row>
    <row r="158" spans="1:8" ht="19.5" thickBot="1">
      <c r="A158" s="576">
        <v>4320</v>
      </c>
      <c r="B158" s="576" t="s">
        <v>256</v>
      </c>
      <c r="C158" s="577" t="s">
        <v>892</v>
      </c>
      <c r="D158" s="576">
        <v>56</v>
      </c>
      <c r="E158" s="578" t="s">
        <v>893</v>
      </c>
      <c r="F158" s="579" t="s">
        <v>78</v>
      </c>
      <c r="G158" s="580">
        <v>90000</v>
      </c>
      <c r="H158" s="581" t="s">
        <v>2409</v>
      </c>
    </row>
    <row r="159" spans="1:8" ht="38.25" thickBot="1">
      <c r="A159" s="537" t="s">
        <v>10</v>
      </c>
      <c r="B159" s="537" t="s">
        <v>2</v>
      </c>
      <c r="C159" s="537" t="s">
        <v>3</v>
      </c>
      <c r="D159" s="537" t="s">
        <v>4</v>
      </c>
      <c r="E159" s="537" t="s">
        <v>2754</v>
      </c>
      <c r="F159" s="538" t="s">
        <v>3600</v>
      </c>
      <c r="G159" s="538" t="s">
        <v>7</v>
      </c>
      <c r="H159" s="538" t="s">
        <v>8</v>
      </c>
    </row>
    <row r="160" spans="1:8" s="440" customFormat="1" ht="19.5" thickBot="1">
      <c r="A160" s="576">
        <v>4320</v>
      </c>
      <c r="B160" s="576" t="s">
        <v>256</v>
      </c>
      <c r="C160" s="577" t="s">
        <v>896</v>
      </c>
      <c r="D160" s="576">
        <v>53</v>
      </c>
      <c r="E160" s="578" t="s">
        <v>897</v>
      </c>
      <c r="F160" s="579" t="s">
        <v>78</v>
      </c>
      <c r="G160" s="580">
        <v>110000</v>
      </c>
      <c r="H160" s="581" t="s">
        <v>2409</v>
      </c>
    </row>
    <row r="161" spans="1:8" ht="19.5" thickBot="1">
      <c r="A161" s="576">
        <v>4320</v>
      </c>
      <c r="B161" s="576" t="s">
        <v>256</v>
      </c>
      <c r="C161" s="577" t="s">
        <v>898</v>
      </c>
      <c r="D161" s="576">
        <v>56</v>
      </c>
      <c r="E161" s="578" t="s">
        <v>899</v>
      </c>
      <c r="F161" s="579" t="s">
        <v>78</v>
      </c>
      <c r="G161" s="580">
        <v>175000</v>
      </c>
      <c r="H161" s="581" t="s">
        <v>2409</v>
      </c>
    </row>
    <row r="162" spans="1:8" ht="19.5" thickBot="1">
      <c r="A162" s="576">
        <v>4320</v>
      </c>
      <c r="B162" s="576" t="s">
        <v>256</v>
      </c>
      <c r="C162" s="577" t="s">
        <v>902</v>
      </c>
      <c r="D162" s="576">
        <v>57</v>
      </c>
      <c r="E162" s="578" t="s">
        <v>903</v>
      </c>
      <c r="F162" s="579" t="s">
        <v>78</v>
      </c>
      <c r="G162" s="580">
        <v>265000</v>
      </c>
      <c r="H162" s="581" t="s">
        <v>2409</v>
      </c>
    </row>
    <row r="163" spans="1:8" ht="19.5" thickBot="1">
      <c r="A163" s="576">
        <v>4320</v>
      </c>
      <c r="B163" s="576" t="s">
        <v>256</v>
      </c>
      <c r="C163" s="577" t="s">
        <v>904</v>
      </c>
      <c r="D163" s="576">
        <v>57</v>
      </c>
      <c r="E163" s="578" t="s">
        <v>905</v>
      </c>
      <c r="F163" s="579" t="s">
        <v>78</v>
      </c>
      <c r="G163" s="580">
        <v>11000</v>
      </c>
      <c r="H163" s="581" t="s">
        <v>2409</v>
      </c>
    </row>
    <row r="164" spans="1:8" ht="19.5" thickBot="1">
      <c r="A164" s="576">
        <v>4320</v>
      </c>
      <c r="B164" s="576" t="s">
        <v>256</v>
      </c>
      <c r="C164" s="577" t="s">
        <v>894</v>
      </c>
      <c r="D164" s="576">
        <v>57</v>
      </c>
      <c r="E164" s="578" t="s">
        <v>895</v>
      </c>
      <c r="F164" s="579" t="s">
        <v>78</v>
      </c>
      <c r="G164" s="580">
        <v>18200</v>
      </c>
      <c r="H164" s="581" t="s">
        <v>2409</v>
      </c>
    </row>
    <row r="165" spans="1:8" ht="19.5" thickBot="1">
      <c r="A165" s="576">
        <v>4320</v>
      </c>
      <c r="B165" s="576" t="s">
        <v>256</v>
      </c>
      <c r="C165" s="577" t="s">
        <v>907</v>
      </c>
      <c r="D165" s="576">
        <v>54</v>
      </c>
      <c r="E165" s="578" t="s">
        <v>908</v>
      </c>
      <c r="F165" s="579" t="s">
        <v>78</v>
      </c>
      <c r="G165" s="580">
        <v>60000</v>
      </c>
      <c r="H165" s="581" t="s">
        <v>2409</v>
      </c>
    </row>
    <row r="166" spans="1:8" ht="19.5" thickBot="1">
      <c r="A166" s="576">
        <v>4320</v>
      </c>
      <c r="B166" s="576" t="s">
        <v>256</v>
      </c>
      <c r="C166" s="577" t="s">
        <v>909</v>
      </c>
      <c r="D166" s="576">
        <v>54</v>
      </c>
      <c r="E166" s="578" t="s">
        <v>910</v>
      </c>
      <c r="F166" s="579" t="s">
        <v>78</v>
      </c>
      <c r="G166" s="580">
        <v>8500</v>
      </c>
      <c r="H166" s="581" t="s">
        <v>2409</v>
      </c>
    </row>
    <row r="167" spans="1:8" ht="19.5" thickBot="1">
      <c r="A167" s="576">
        <v>4320</v>
      </c>
      <c r="B167" s="576" t="s">
        <v>256</v>
      </c>
      <c r="C167" s="577" t="s">
        <v>911</v>
      </c>
      <c r="D167" s="576">
        <v>54</v>
      </c>
      <c r="E167" s="578" t="s">
        <v>912</v>
      </c>
      <c r="F167" s="579" t="s">
        <v>78</v>
      </c>
      <c r="G167" s="580">
        <v>14000</v>
      </c>
      <c r="H167" s="581" t="s">
        <v>2409</v>
      </c>
    </row>
    <row r="168" spans="1:8" ht="19.5" thickBot="1">
      <c r="A168" s="576">
        <v>4320</v>
      </c>
      <c r="B168" s="576" t="s">
        <v>256</v>
      </c>
      <c r="C168" s="577" t="s">
        <v>913</v>
      </c>
      <c r="D168" s="576">
        <v>54</v>
      </c>
      <c r="E168" s="578" t="s">
        <v>914</v>
      </c>
      <c r="F168" s="579" t="s">
        <v>78</v>
      </c>
      <c r="G168" s="580">
        <v>21000</v>
      </c>
      <c r="H168" s="581" t="s">
        <v>2409</v>
      </c>
    </row>
    <row r="169" spans="1:8" ht="19.5" thickBot="1">
      <c r="A169" s="576">
        <v>4320</v>
      </c>
      <c r="B169" s="576" t="s">
        <v>256</v>
      </c>
      <c r="C169" s="577" t="s">
        <v>921</v>
      </c>
      <c r="D169" s="576">
        <v>56</v>
      </c>
      <c r="E169" s="605" t="s">
        <v>922</v>
      </c>
      <c r="F169" s="579" t="s">
        <v>78</v>
      </c>
      <c r="G169" s="580">
        <v>75000</v>
      </c>
      <c r="H169" s="581" t="s">
        <v>2409</v>
      </c>
    </row>
    <row r="170" spans="1:8" ht="19.5" thickBot="1">
      <c r="A170" s="576">
        <v>4320</v>
      </c>
      <c r="B170" s="576" t="s">
        <v>256</v>
      </c>
      <c r="C170" s="577" t="s">
        <v>917</v>
      </c>
      <c r="D170" s="576">
        <v>56</v>
      </c>
      <c r="E170" s="605" t="s">
        <v>918</v>
      </c>
      <c r="F170" s="579" t="s">
        <v>78</v>
      </c>
      <c r="G170" s="580">
        <v>260000</v>
      </c>
      <c r="H170" s="581" t="s">
        <v>2409</v>
      </c>
    </row>
    <row r="171" spans="1:8" ht="19.5" thickBot="1">
      <c r="A171" s="602" t="s">
        <v>4128</v>
      </c>
      <c r="B171" s="603"/>
      <c r="C171" s="603"/>
      <c r="D171" s="603"/>
      <c r="E171" s="603"/>
      <c r="F171" s="603"/>
      <c r="G171" s="603"/>
      <c r="H171" s="604"/>
    </row>
    <row r="172" spans="1:8" ht="19.5" thickBot="1">
      <c r="A172" s="576">
        <v>4440</v>
      </c>
      <c r="B172" s="576" t="s">
        <v>372</v>
      </c>
      <c r="C172" s="577" t="s">
        <v>933</v>
      </c>
      <c r="D172" s="576">
        <v>55</v>
      </c>
      <c r="E172" s="578" t="s">
        <v>934</v>
      </c>
      <c r="F172" s="579" t="s">
        <v>78</v>
      </c>
      <c r="G172" s="580">
        <v>255000</v>
      </c>
      <c r="H172" s="581" t="s">
        <v>2411</v>
      </c>
    </row>
    <row r="173" spans="1:8" ht="19.5" thickBot="1">
      <c r="A173" s="576">
        <v>4440</v>
      </c>
      <c r="B173" s="576" t="s">
        <v>372</v>
      </c>
      <c r="C173" s="577" t="s">
        <v>927</v>
      </c>
      <c r="D173" s="576">
        <v>55</v>
      </c>
      <c r="E173" s="578" t="s">
        <v>928</v>
      </c>
      <c r="F173" s="579" t="s">
        <v>78</v>
      </c>
      <c r="G173" s="580">
        <v>455000</v>
      </c>
      <c r="H173" s="581" t="s">
        <v>2411</v>
      </c>
    </row>
    <row r="174" spans="1:8" s="440" customFormat="1" ht="19.5" thickBot="1">
      <c r="A174" s="576">
        <v>4440</v>
      </c>
      <c r="B174" s="576" t="s">
        <v>372</v>
      </c>
      <c r="C174" s="577" t="s">
        <v>929</v>
      </c>
      <c r="D174" s="576">
        <v>55</v>
      </c>
      <c r="E174" s="578" t="s">
        <v>930</v>
      </c>
      <c r="F174" s="579" t="s">
        <v>78</v>
      </c>
      <c r="G174" s="580">
        <v>650000</v>
      </c>
      <c r="H174" s="581" t="s">
        <v>2411</v>
      </c>
    </row>
    <row r="175" spans="1:8" ht="19.5" thickBot="1">
      <c r="A175" s="576">
        <v>4440</v>
      </c>
      <c r="B175" s="576" t="s">
        <v>372</v>
      </c>
      <c r="C175" s="577" t="s">
        <v>931</v>
      </c>
      <c r="D175" s="576">
        <v>55</v>
      </c>
      <c r="E175" s="578" t="s">
        <v>932</v>
      </c>
      <c r="F175" s="579" t="s">
        <v>78</v>
      </c>
      <c r="G175" s="580">
        <v>850000</v>
      </c>
      <c r="H175" s="581" t="s">
        <v>2411</v>
      </c>
    </row>
    <row r="176" spans="1:8" ht="19.5" thickBot="1">
      <c r="A176" s="576">
        <v>4460</v>
      </c>
      <c r="B176" s="576" t="s">
        <v>157</v>
      </c>
      <c r="C176" s="577" t="s">
        <v>939</v>
      </c>
      <c r="D176" s="576">
        <v>52</v>
      </c>
      <c r="E176" s="578" t="s">
        <v>940</v>
      </c>
      <c r="F176" s="579" t="s">
        <v>78</v>
      </c>
      <c r="G176" s="580">
        <v>47000</v>
      </c>
      <c r="H176" s="581" t="s">
        <v>2413</v>
      </c>
    </row>
    <row r="177" spans="1:8" ht="19.5" thickBot="1">
      <c r="A177" s="576">
        <v>4460</v>
      </c>
      <c r="B177" s="576" t="s">
        <v>372</v>
      </c>
      <c r="C177" s="577" t="s">
        <v>936</v>
      </c>
      <c r="D177" s="576">
        <v>52</v>
      </c>
      <c r="E177" s="578" t="s">
        <v>937</v>
      </c>
      <c r="F177" s="579" t="s">
        <v>78</v>
      </c>
      <c r="G177" s="580">
        <v>55000</v>
      </c>
      <c r="H177" s="581" t="s">
        <v>2413</v>
      </c>
    </row>
    <row r="178" spans="1:8" ht="19.5" thickBot="1">
      <c r="A178" s="576">
        <v>4460</v>
      </c>
      <c r="B178" s="576" t="s">
        <v>683</v>
      </c>
      <c r="C178" s="577" t="s">
        <v>935</v>
      </c>
      <c r="D178" s="576">
        <v>61</v>
      </c>
      <c r="E178" s="578" t="s">
        <v>720</v>
      </c>
      <c r="F178" s="579" t="s">
        <v>78</v>
      </c>
      <c r="G178" s="580">
        <v>175000</v>
      </c>
      <c r="H178" s="581" t="s">
        <v>2413</v>
      </c>
    </row>
    <row r="179" spans="1:8" ht="19.5" thickBot="1">
      <c r="A179" s="576">
        <v>4460</v>
      </c>
      <c r="B179" s="576" t="s">
        <v>683</v>
      </c>
      <c r="C179" s="577" t="s">
        <v>941</v>
      </c>
      <c r="D179" s="576">
        <v>52</v>
      </c>
      <c r="E179" s="578" t="s">
        <v>942</v>
      </c>
      <c r="F179" s="579" t="s">
        <v>78</v>
      </c>
      <c r="G179" s="580">
        <v>300000</v>
      </c>
      <c r="H179" s="581" t="s">
        <v>2413</v>
      </c>
    </row>
    <row r="180" spans="1:8" ht="19.5" thickBot="1">
      <c r="A180" s="576">
        <v>4460</v>
      </c>
      <c r="B180" s="576" t="s">
        <v>683</v>
      </c>
      <c r="C180" s="577" t="s">
        <v>943</v>
      </c>
      <c r="D180" s="576">
        <v>62</v>
      </c>
      <c r="E180" s="578" t="s">
        <v>944</v>
      </c>
      <c r="F180" s="579" t="s">
        <v>78</v>
      </c>
      <c r="G180" s="580">
        <v>790000</v>
      </c>
      <c r="H180" s="581" t="s">
        <v>2413</v>
      </c>
    </row>
    <row r="181" spans="1:8" ht="19.5" thickBot="1">
      <c r="A181" s="602" t="s">
        <v>4129</v>
      </c>
      <c r="B181" s="603"/>
      <c r="C181" s="603"/>
      <c r="D181" s="603"/>
      <c r="E181" s="603"/>
      <c r="F181" s="603"/>
      <c r="G181" s="603"/>
      <c r="H181" s="604"/>
    </row>
    <row r="182" spans="1:8" ht="19.5" thickBot="1">
      <c r="A182" s="576">
        <v>4520</v>
      </c>
      <c r="B182" s="576" t="s">
        <v>157</v>
      </c>
      <c r="C182" s="577" t="s">
        <v>947</v>
      </c>
      <c r="D182" s="576">
        <v>52</v>
      </c>
      <c r="E182" s="578" t="s">
        <v>948</v>
      </c>
      <c r="F182" s="579" t="s">
        <v>78</v>
      </c>
      <c r="G182" s="580">
        <v>28000</v>
      </c>
      <c r="H182" s="581" t="s">
        <v>2414</v>
      </c>
    </row>
    <row r="183" spans="1:8" ht="19.5" thickBot="1">
      <c r="A183" s="576">
        <v>4520</v>
      </c>
      <c r="B183" s="576" t="s">
        <v>157</v>
      </c>
      <c r="C183" s="577" t="s">
        <v>949</v>
      </c>
      <c r="D183" s="576">
        <v>62</v>
      </c>
      <c r="E183" s="578" t="s">
        <v>950</v>
      </c>
      <c r="F183" s="579" t="s">
        <v>78</v>
      </c>
      <c r="G183" s="580">
        <v>25000</v>
      </c>
      <c r="H183" s="581" t="s">
        <v>2414</v>
      </c>
    </row>
    <row r="184" spans="1:8" ht="19.5" thickBot="1">
      <c r="A184" s="670">
        <v>4520</v>
      </c>
      <c r="B184" s="670" t="s">
        <v>4259</v>
      </c>
      <c r="C184" s="671" t="s">
        <v>4260</v>
      </c>
      <c r="D184" s="670">
        <v>62</v>
      </c>
      <c r="E184" s="672" t="s">
        <v>4261</v>
      </c>
      <c r="F184" s="673" t="s">
        <v>78</v>
      </c>
      <c r="G184" s="674">
        <v>3000000</v>
      </c>
      <c r="H184" s="675"/>
    </row>
    <row r="185" spans="1:8" ht="19.5" thickBot="1">
      <c r="A185" s="576">
        <v>4520</v>
      </c>
      <c r="B185" s="576" t="s">
        <v>157</v>
      </c>
      <c r="C185" s="577" t="s">
        <v>951</v>
      </c>
      <c r="D185" s="576">
        <v>55</v>
      </c>
      <c r="E185" s="578" t="s">
        <v>952</v>
      </c>
      <c r="F185" s="579" t="s">
        <v>48</v>
      </c>
      <c r="G185" s="580">
        <v>8500</v>
      </c>
      <c r="H185" s="581" t="s">
        <v>2414</v>
      </c>
    </row>
    <row r="186" spans="1:8" ht="19.5" thickBot="1">
      <c r="A186" s="602" t="s">
        <v>4130</v>
      </c>
      <c r="B186" s="603"/>
      <c r="C186" s="603"/>
      <c r="D186" s="603"/>
      <c r="E186" s="603"/>
      <c r="F186" s="603"/>
      <c r="G186" s="603"/>
      <c r="H186" s="604"/>
    </row>
    <row r="187" spans="1:8" ht="19.5" thickBot="1">
      <c r="A187" s="576">
        <v>4610</v>
      </c>
      <c r="B187" s="576" t="s">
        <v>256</v>
      </c>
      <c r="C187" s="577" t="s">
        <v>954</v>
      </c>
      <c r="D187" s="576">
        <v>58</v>
      </c>
      <c r="E187" s="578" t="s">
        <v>955</v>
      </c>
      <c r="F187" s="579" t="s">
        <v>78</v>
      </c>
      <c r="G187" s="580">
        <v>22000</v>
      </c>
      <c r="H187" s="581" t="s">
        <v>2415</v>
      </c>
    </row>
    <row r="188" spans="1:8" ht="19.5" thickBot="1">
      <c r="A188" s="576">
        <v>4610</v>
      </c>
      <c r="B188" s="576" t="s">
        <v>256</v>
      </c>
      <c r="C188" s="577" t="s">
        <v>956</v>
      </c>
      <c r="D188" s="576">
        <v>54</v>
      </c>
      <c r="E188" s="578" t="s">
        <v>957</v>
      </c>
      <c r="F188" s="579" t="s">
        <v>78</v>
      </c>
      <c r="G188" s="580">
        <v>24000</v>
      </c>
      <c r="H188" s="581" t="s">
        <v>2415</v>
      </c>
    </row>
    <row r="189" spans="1:8" ht="19.5" thickBot="1">
      <c r="A189" s="576">
        <v>4630</v>
      </c>
      <c r="B189" s="576" t="s">
        <v>256</v>
      </c>
      <c r="C189" s="577" t="s">
        <v>958</v>
      </c>
      <c r="D189" s="576">
        <v>55</v>
      </c>
      <c r="E189" s="578" t="s">
        <v>959</v>
      </c>
      <c r="F189" s="579" t="s">
        <v>78</v>
      </c>
      <c r="G189" s="580">
        <v>37000</v>
      </c>
      <c r="H189" s="581" t="s">
        <v>2418</v>
      </c>
    </row>
    <row r="190" spans="1:8" ht="19.5" thickBot="1">
      <c r="A190" s="576">
        <v>4630</v>
      </c>
      <c r="B190" s="576" t="s">
        <v>157</v>
      </c>
      <c r="C190" s="577" t="s">
        <v>960</v>
      </c>
      <c r="D190" s="576">
        <v>54</v>
      </c>
      <c r="E190" s="578" t="s">
        <v>961</v>
      </c>
      <c r="F190" s="579" t="s">
        <v>78</v>
      </c>
      <c r="G190" s="580">
        <v>25000</v>
      </c>
      <c r="H190" s="581" t="s">
        <v>2418</v>
      </c>
    </row>
    <row r="191" spans="1:8" ht="19.5" thickBot="1">
      <c r="A191" s="576">
        <v>4630</v>
      </c>
      <c r="B191" s="576" t="s">
        <v>256</v>
      </c>
      <c r="C191" s="577" t="s">
        <v>962</v>
      </c>
      <c r="D191" s="576">
        <v>55</v>
      </c>
      <c r="E191" s="578" t="s">
        <v>963</v>
      </c>
      <c r="F191" s="579" t="s">
        <v>78</v>
      </c>
      <c r="G191" s="580">
        <v>250000</v>
      </c>
      <c r="H191" s="581" t="s">
        <v>2418</v>
      </c>
    </row>
    <row r="192" spans="1:8" ht="19.5" thickBot="1">
      <c r="A192" s="602" t="s">
        <v>4131</v>
      </c>
      <c r="B192" s="603"/>
      <c r="C192" s="603"/>
      <c r="D192" s="603"/>
      <c r="E192" s="603"/>
      <c r="F192" s="603"/>
      <c r="G192" s="603"/>
      <c r="H192" s="604"/>
    </row>
    <row r="193" spans="1:8" ht="19.5" thickBot="1">
      <c r="A193" s="576">
        <v>4910</v>
      </c>
      <c r="B193" s="576" t="s">
        <v>157</v>
      </c>
      <c r="C193" s="577" t="s">
        <v>966</v>
      </c>
      <c r="D193" s="576">
        <v>53</v>
      </c>
      <c r="E193" s="578" t="s">
        <v>967</v>
      </c>
      <c r="F193" s="579" t="s">
        <v>78</v>
      </c>
      <c r="G193" s="580">
        <v>165000</v>
      </c>
      <c r="H193" s="581" t="s">
        <v>2419</v>
      </c>
    </row>
    <row r="194" spans="1:8" ht="19.5" thickBot="1">
      <c r="A194" s="576">
        <v>4930</v>
      </c>
      <c r="B194" s="576" t="s">
        <v>157</v>
      </c>
      <c r="C194" s="577" t="s">
        <v>968</v>
      </c>
      <c r="D194" s="576">
        <v>53</v>
      </c>
      <c r="E194" s="578" t="s">
        <v>969</v>
      </c>
      <c r="F194" s="579" t="s">
        <v>78</v>
      </c>
      <c r="G194" s="580">
        <v>27000</v>
      </c>
      <c r="H194" s="581" t="s">
        <v>2422</v>
      </c>
    </row>
    <row r="195" spans="1:8" ht="19.5" thickBot="1">
      <c r="A195" s="576">
        <v>4930</v>
      </c>
      <c r="B195" s="576" t="s">
        <v>157</v>
      </c>
      <c r="C195" s="577" t="s">
        <v>970</v>
      </c>
      <c r="D195" s="576">
        <v>53</v>
      </c>
      <c r="E195" s="578" t="s">
        <v>971</v>
      </c>
      <c r="F195" s="579" t="s">
        <v>78</v>
      </c>
      <c r="G195" s="580">
        <v>25000</v>
      </c>
      <c r="H195" s="581" t="s">
        <v>2422</v>
      </c>
    </row>
    <row r="196" spans="1:8" ht="19.5" thickBot="1">
      <c r="A196" s="602" t="s">
        <v>4132</v>
      </c>
      <c r="B196" s="603"/>
      <c r="C196" s="603"/>
      <c r="D196" s="603"/>
      <c r="E196" s="603"/>
      <c r="F196" s="603"/>
      <c r="G196" s="603"/>
      <c r="H196" s="604"/>
    </row>
    <row r="197" spans="1:8" ht="19.5" thickBot="1">
      <c r="A197" s="576">
        <v>5110</v>
      </c>
      <c r="B197" s="576" t="s">
        <v>37</v>
      </c>
      <c r="C197" s="577" t="s">
        <v>972</v>
      </c>
      <c r="D197" s="576">
        <v>53</v>
      </c>
      <c r="E197" s="578" t="s">
        <v>973</v>
      </c>
      <c r="F197" s="579" t="s">
        <v>78</v>
      </c>
      <c r="G197" s="580">
        <v>80000</v>
      </c>
      <c r="H197" s="581" t="s">
        <v>2425</v>
      </c>
    </row>
    <row r="198" spans="1:8" ht="19.5" thickBot="1">
      <c r="A198" s="576">
        <v>5120</v>
      </c>
      <c r="B198" s="576" t="s">
        <v>157</v>
      </c>
      <c r="C198" s="577" t="s">
        <v>974</v>
      </c>
      <c r="D198" s="576">
        <v>52</v>
      </c>
      <c r="E198" s="578" t="s">
        <v>975</v>
      </c>
      <c r="F198" s="579" t="s">
        <v>53</v>
      </c>
      <c r="G198" s="580">
        <v>15000</v>
      </c>
      <c r="H198" s="581" t="s">
        <v>2426</v>
      </c>
    </row>
    <row r="199" spans="1:8" ht="19.5" thickBot="1">
      <c r="A199" s="576">
        <v>5120</v>
      </c>
      <c r="B199" s="576" t="s">
        <v>37</v>
      </c>
      <c r="C199" s="577" t="s">
        <v>4191</v>
      </c>
      <c r="D199" s="576">
        <v>62</v>
      </c>
      <c r="E199" s="578" t="s">
        <v>978</v>
      </c>
      <c r="F199" s="579" t="s">
        <v>78</v>
      </c>
      <c r="G199" s="580">
        <v>210000</v>
      </c>
      <c r="H199" s="581">
        <v>5120</v>
      </c>
    </row>
    <row r="200" spans="1:8" ht="19.5" thickBot="1">
      <c r="A200" s="576">
        <v>5120</v>
      </c>
      <c r="B200" s="576" t="s">
        <v>157</v>
      </c>
      <c r="C200" s="577" t="s">
        <v>979</v>
      </c>
      <c r="D200" s="576">
        <v>52</v>
      </c>
      <c r="E200" s="578" t="s">
        <v>980</v>
      </c>
      <c r="F200" s="579" t="s">
        <v>48</v>
      </c>
      <c r="G200" s="580">
        <v>6500</v>
      </c>
      <c r="H200" s="581" t="s">
        <v>2426</v>
      </c>
    </row>
    <row r="201" spans="1:8" ht="19.5" thickBot="1">
      <c r="A201" s="576">
        <v>5120</v>
      </c>
      <c r="B201" s="576" t="s">
        <v>157</v>
      </c>
      <c r="C201" s="577" t="s">
        <v>981</v>
      </c>
      <c r="D201" s="576">
        <v>54</v>
      </c>
      <c r="E201" s="578" t="s">
        <v>982</v>
      </c>
      <c r="F201" s="579" t="s">
        <v>48</v>
      </c>
      <c r="G201" s="580">
        <v>7500</v>
      </c>
      <c r="H201" s="581" t="s">
        <v>2426</v>
      </c>
    </row>
    <row r="202" spans="1:8" ht="38.25" thickBot="1">
      <c r="A202" s="537" t="s">
        <v>10</v>
      </c>
      <c r="B202" s="537" t="s">
        <v>2</v>
      </c>
      <c r="C202" s="537" t="s">
        <v>3</v>
      </c>
      <c r="D202" s="537" t="s">
        <v>4</v>
      </c>
      <c r="E202" s="537" t="s">
        <v>2754</v>
      </c>
      <c r="F202" s="538" t="s">
        <v>3600</v>
      </c>
      <c r="G202" s="538" t="s">
        <v>7</v>
      </c>
      <c r="H202" s="538" t="s">
        <v>8</v>
      </c>
    </row>
    <row r="203" spans="1:8" ht="19.5" thickBot="1">
      <c r="A203" s="576">
        <v>5120</v>
      </c>
      <c r="B203" s="576" t="s">
        <v>157</v>
      </c>
      <c r="C203" s="577" t="s">
        <v>985</v>
      </c>
      <c r="D203" s="576">
        <v>53</v>
      </c>
      <c r="E203" s="578" t="s">
        <v>984</v>
      </c>
      <c r="F203" s="579" t="s">
        <v>48</v>
      </c>
      <c r="G203" s="580">
        <v>28000</v>
      </c>
      <c r="H203" s="581" t="s">
        <v>2426</v>
      </c>
    </row>
    <row r="204" spans="1:8" ht="19.5" thickBot="1">
      <c r="A204" s="576">
        <v>5120</v>
      </c>
      <c r="B204" s="576" t="s">
        <v>157</v>
      </c>
      <c r="C204" s="577" t="s">
        <v>985</v>
      </c>
      <c r="D204" s="576">
        <v>54</v>
      </c>
      <c r="E204" s="578" t="s">
        <v>986</v>
      </c>
      <c r="F204" s="579" t="s">
        <v>48</v>
      </c>
      <c r="G204" s="580">
        <v>15000</v>
      </c>
      <c r="H204" s="581" t="s">
        <v>2426</v>
      </c>
    </row>
    <row r="205" spans="1:8" ht="19.5" thickBot="1">
      <c r="A205" s="576">
        <v>5120</v>
      </c>
      <c r="B205" s="576" t="s">
        <v>157</v>
      </c>
      <c r="C205" s="577" t="s">
        <v>990</v>
      </c>
      <c r="D205" s="576">
        <v>54</v>
      </c>
      <c r="E205" s="578" t="s">
        <v>991</v>
      </c>
      <c r="F205" s="579" t="s">
        <v>48</v>
      </c>
      <c r="G205" s="580">
        <v>28000</v>
      </c>
      <c r="H205" s="581" t="s">
        <v>2426</v>
      </c>
    </row>
    <row r="206" spans="1:8" ht="19.5" thickBot="1">
      <c r="A206" s="576">
        <v>5120</v>
      </c>
      <c r="B206" s="576" t="s">
        <v>157</v>
      </c>
      <c r="C206" s="577" t="s">
        <v>987</v>
      </c>
      <c r="D206" s="576">
        <v>54</v>
      </c>
      <c r="E206" s="578" t="s">
        <v>989</v>
      </c>
      <c r="F206" s="579" t="s">
        <v>48</v>
      </c>
      <c r="G206" s="580">
        <v>65000</v>
      </c>
      <c r="H206" s="581" t="s">
        <v>2426</v>
      </c>
    </row>
    <row r="207" spans="1:8" ht="19.5" thickBot="1">
      <c r="A207" s="576">
        <v>5130</v>
      </c>
      <c r="B207" s="576" t="s">
        <v>191</v>
      </c>
      <c r="C207" s="577" t="s">
        <v>992</v>
      </c>
      <c r="D207" s="576">
        <v>59</v>
      </c>
      <c r="E207" s="578" t="s">
        <v>993</v>
      </c>
      <c r="F207" s="579" t="s">
        <v>78</v>
      </c>
      <c r="G207" s="580">
        <v>15000</v>
      </c>
      <c r="H207" s="581" t="s">
        <v>2427</v>
      </c>
    </row>
    <row r="208" spans="1:8" ht="19.5" thickBot="1">
      <c r="A208" s="576">
        <v>5130</v>
      </c>
      <c r="B208" s="576" t="s">
        <v>191</v>
      </c>
      <c r="C208" s="577" t="s">
        <v>995</v>
      </c>
      <c r="D208" s="576">
        <v>59</v>
      </c>
      <c r="E208" s="578" t="s">
        <v>997</v>
      </c>
      <c r="F208" s="579" t="s">
        <v>78</v>
      </c>
      <c r="G208" s="580">
        <v>19500</v>
      </c>
      <c r="H208" s="581" t="s">
        <v>2427</v>
      </c>
    </row>
    <row r="209" spans="1:8" ht="19.5" thickBot="1">
      <c r="A209" s="576">
        <v>5130</v>
      </c>
      <c r="B209" s="576" t="s">
        <v>191</v>
      </c>
      <c r="C209" s="577" t="s">
        <v>998</v>
      </c>
      <c r="D209" s="576">
        <v>55</v>
      </c>
      <c r="E209" s="578" t="s">
        <v>999</v>
      </c>
      <c r="F209" s="579" t="s">
        <v>78</v>
      </c>
      <c r="G209" s="580">
        <v>13700</v>
      </c>
      <c r="H209" s="581" t="s">
        <v>2427</v>
      </c>
    </row>
    <row r="210" spans="1:8" s="440" customFormat="1" ht="19.5" thickBot="1">
      <c r="A210" s="576">
        <v>5130</v>
      </c>
      <c r="B210" s="576" t="s">
        <v>157</v>
      </c>
      <c r="C210" s="577" t="s">
        <v>1000</v>
      </c>
      <c r="D210" s="576">
        <v>54</v>
      </c>
      <c r="E210" s="578" t="s">
        <v>1001</v>
      </c>
      <c r="F210" s="579" t="s">
        <v>78</v>
      </c>
      <c r="G210" s="580">
        <v>5500</v>
      </c>
      <c r="H210" s="581" t="s">
        <v>2427</v>
      </c>
    </row>
    <row r="211" spans="1:8" ht="19.5" thickBot="1">
      <c r="A211" s="576">
        <v>5130</v>
      </c>
      <c r="B211" s="576" t="s">
        <v>191</v>
      </c>
      <c r="C211" s="577" t="s">
        <v>1002</v>
      </c>
      <c r="D211" s="576">
        <v>58</v>
      </c>
      <c r="E211" s="578" t="s">
        <v>1003</v>
      </c>
      <c r="F211" s="579" t="s">
        <v>78</v>
      </c>
      <c r="G211" s="580">
        <v>6300</v>
      </c>
      <c r="H211" s="581" t="s">
        <v>2427</v>
      </c>
    </row>
    <row r="212" spans="1:8" ht="19.5" thickBot="1">
      <c r="A212" s="576">
        <v>5130</v>
      </c>
      <c r="B212" s="576" t="s">
        <v>191</v>
      </c>
      <c r="C212" s="577" t="s">
        <v>1004</v>
      </c>
      <c r="D212" s="576">
        <v>55</v>
      </c>
      <c r="E212" s="578" t="s">
        <v>1005</v>
      </c>
      <c r="F212" s="579" t="s">
        <v>78</v>
      </c>
      <c r="G212" s="580">
        <v>21200</v>
      </c>
      <c r="H212" s="581" t="s">
        <v>2427</v>
      </c>
    </row>
    <row r="213" spans="1:8" ht="19.5" thickBot="1">
      <c r="A213" s="576">
        <v>5130</v>
      </c>
      <c r="B213" s="576" t="s">
        <v>191</v>
      </c>
      <c r="C213" s="577" t="s">
        <v>1006</v>
      </c>
      <c r="D213" s="576">
        <v>57</v>
      </c>
      <c r="E213" s="578" t="s">
        <v>1007</v>
      </c>
      <c r="F213" s="579" t="s">
        <v>78</v>
      </c>
      <c r="G213" s="580">
        <v>17500</v>
      </c>
      <c r="H213" s="581" t="s">
        <v>2427</v>
      </c>
    </row>
    <row r="214" spans="1:8" s="440" customFormat="1" ht="19.5" thickBot="1">
      <c r="A214" s="576">
        <v>5130</v>
      </c>
      <c r="B214" s="576" t="s">
        <v>191</v>
      </c>
      <c r="C214" s="577" t="s">
        <v>1008</v>
      </c>
      <c r="D214" s="576">
        <v>55</v>
      </c>
      <c r="E214" s="578" t="s">
        <v>1009</v>
      </c>
      <c r="F214" s="579" t="s">
        <v>78</v>
      </c>
      <c r="G214" s="580">
        <v>4500</v>
      </c>
      <c r="H214" s="581" t="s">
        <v>2427</v>
      </c>
    </row>
    <row r="215" spans="1:8" ht="19.5" thickBot="1">
      <c r="A215" s="576">
        <v>5130</v>
      </c>
      <c r="B215" s="576" t="s">
        <v>256</v>
      </c>
      <c r="C215" s="577" t="s">
        <v>1010</v>
      </c>
      <c r="D215" s="576">
        <v>53</v>
      </c>
      <c r="E215" s="578" t="s">
        <v>1011</v>
      </c>
      <c r="F215" s="579" t="s">
        <v>78</v>
      </c>
      <c r="G215" s="580">
        <v>9000</v>
      </c>
      <c r="H215" s="581" t="s">
        <v>2427</v>
      </c>
    </row>
    <row r="216" spans="1:8" ht="19.5" thickBot="1">
      <c r="A216" s="576">
        <v>5130</v>
      </c>
      <c r="B216" s="576" t="s">
        <v>191</v>
      </c>
      <c r="C216" s="577" t="s">
        <v>1012</v>
      </c>
      <c r="D216" s="576">
        <v>53</v>
      </c>
      <c r="E216" s="578" t="s">
        <v>1013</v>
      </c>
      <c r="F216" s="579" t="s">
        <v>78</v>
      </c>
      <c r="G216" s="580">
        <v>5600</v>
      </c>
      <c r="H216" s="581" t="s">
        <v>2427</v>
      </c>
    </row>
    <row r="217" spans="1:8" s="440" customFormat="1" ht="19.5" thickBot="1">
      <c r="A217" s="576">
        <v>5130</v>
      </c>
      <c r="B217" s="576" t="s">
        <v>191</v>
      </c>
      <c r="C217" s="577" t="s">
        <v>1014</v>
      </c>
      <c r="D217" s="576">
        <v>53</v>
      </c>
      <c r="E217" s="578" t="s">
        <v>1015</v>
      </c>
      <c r="F217" s="579" t="s">
        <v>78</v>
      </c>
      <c r="G217" s="580">
        <v>6900</v>
      </c>
      <c r="H217" s="581" t="s">
        <v>2427</v>
      </c>
    </row>
    <row r="218" spans="1:8" ht="19.5" thickBot="1">
      <c r="A218" s="576">
        <v>5130</v>
      </c>
      <c r="B218" s="576" t="s">
        <v>191</v>
      </c>
      <c r="C218" s="577" t="s">
        <v>1016</v>
      </c>
      <c r="D218" s="576">
        <v>55</v>
      </c>
      <c r="E218" s="578" t="s">
        <v>1017</v>
      </c>
      <c r="F218" s="579" t="s">
        <v>78</v>
      </c>
      <c r="G218" s="580">
        <v>6500</v>
      </c>
      <c r="H218" s="581" t="s">
        <v>2427</v>
      </c>
    </row>
    <row r="219" spans="1:8" s="440" customFormat="1" ht="19.5" thickBot="1">
      <c r="A219" s="576">
        <v>5130</v>
      </c>
      <c r="B219" s="576" t="s">
        <v>191</v>
      </c>
      <c r="C219" s="577" t="s">
        <v>1018</v>
      </c>
      <c r="D219" s="576">
        <v>55</v>
      </c>
      <c r="E219" s="578" t="s">
        <v>1019</v>
      </c>
      <c r="F219" s="579" t="s">
        <v>78</v>
      </c>
      <c r="G219" s="580">
        <v>10800</v>
      </c>
      <c r="H219" s="581" t="s">
        <v>2427</v>
      </c>
    </row>
    <row r="220" spans="1:8" ht="19.5" thickBot="1">
      <c r="A220" s="576">
        <v>5130</v>
      </c>
      <c r="B220" s="576" t="s">
        <v>191</v>
      </c>
      <c r="C220" s="577" t="s">
        <v>1020</v>
      </c>
      <c r="D220" s="576">
        <v>53</v>
      </c>
      <c r="E220" s="578" t="s">
        <v>1021</v>
      </c>
      <c r="F220" s="579" t="s">
        <v>78</v>
      </c>
      <c r="G220" s="580">
        <v>11500</v>
      </c>
      <c r="H220" s="581" t="s">
        <v>2427</v>
      </c>
    </row>
    <row r="221" spans="1:8" ht="19.5" thickBot="1">
      <c r="A221" s="576">
        <v>5130</v>
      </c>
      <c r="B221" s="576" t="s">
        <v>191</v>
      </c>
      <c r="C221" s="577" t="s">
        <v>1022</v>
      </c>
      <c r="D221" s="576">
        <v>52</v>
      </c>
      <c r="E221" s="578" t="s">
        <v>1023</v>
      </c>
      <c r="F221" s="579" t="s">
        <v>78</v>
      </c>
      <c r="G221" s="580">
        <v>12500</v>
      </c>
      <c r="H221" s="581" t="s">
        <v>2427</v>
      </c>
    </row>
    <row r="222" spans="1:8" ht="19.5" thickBot="1">
      <c r="A222" s="576">
        <v>5133</v>
      </c>
      <c r="B222" s="576" t="s">
        <v>157</v>
      </c>
      <c r="C222" s="577" t="s">
        <v>1024</v>
      </c>
      <c r="D222" s="576">
        <v>53</v>
      </c>
      <c r="E222" s="578" t="s">
        <v>1025</v>
      </c>
      <c r="F222" s="579" t="s">
        <v>53</v>
      </c>
      <c r="G222" s="580">
        <v>4500</v>
      </c>
      <c r="H222" s="581" t="s">
        <v>2428</v>
      </c>
    </row>
    <row r="223" spans="1:8" ht="19.5" thickBot="1">
      <c r="A223" s="576">
        <v>5180</v>
      </c>
      <c r="B223" s="576" t="s">
        <v>157</v>
      </c>
      <c r="C223" s="577" t="s">
        <v>1026</v>
      </c>
      <c r="D223" s="576">
        <v>54</v>
      </c>
      <c r="E223" s="578" t="s">
        <v>1027</v>
      </c>
      <c r="F223" s="579" t="s">
        <v>53</v>
      </c>
      <c r="G223" s="580">
        <v>28000</v>
      </c>
      <c r="H223" s="581" t="s">
        <v>2431</v>
      </c>
    </row>
    <row r="224" spans="1:8" ht="19.5" thickBot="1">
      <c r="A224" s="602" t="s">
        <v>4133</v>
      </c>
      <c r="B224" s="603"/>
      <c r="C224" s="603"/>
      <c r="D224" s="603"/>
      <c r="E224" s="603"/>
      <c r="F224" s="603"/>
      <c r="G224" s="603"/>
      <c r="H224" s="604"/>
    </row>
    <row r="225" spans="1:8" ht="19.5" thickBot="1">
      <c r="A225" s="576">
        <v>5345</v>
      </c>
      <c r="B225" s="576" t="s">
        <v>157</v>
      </c>
      <c r="C225" s="577" t="s">
        <v>1028</v>
      </c>
      <c r="D225" s="576">
        <v>52</v>
      </c>
      <c r="E225" s="578" t="s">
        <v>1029</v>
      </c>
      <c r="F225" s="579" t="s">
        <v>48</v>
      </c>
      <c r="G225" s="580">
        <v>6500</v>
      </c>
      <c r="H225" s="581" t="s">
        <v>2436</v>
      </c>
    </row>
    <row r="226" spans="1:8" ht="19.5" thickBot="1">
      <c r="A226" s="576">
        <v>5345</v>
      </c>
      <c r="B226" s="576" t="s">
        <v>157</v>
      </c>
      <c r="C226" s="577" t="s">
        <v>1030</v>
      </c>
      <c r="D226" s="576">
        <v>53</v>
      </c>
      <c r="E226" s="578" t="s">
        <v>1031</v>
      </c>
      <c r="F226" s="579" t="s">
        <v>48</v>
      </c>
      <c r="G226" s="580">
        <v>8500</v>
      </c>
      <c r="H226" s="581" t="s">
        <v>2436</v>
      </c>
    </row>
    <row r="227" spans="1:8" ht="19.5" thickBot="1">
      <c r="A227" s="602" t="s">
        <v>4134</v>
      </c>
      <c r="B227" s="603"/>
      <c r="C227" s="603"/>
      <c r="D227" s="603"/>
      <c r="E227" s="603"/>
      <c r="F227" s="603"/>
      <c r="G227" s="603"/>
      <c r="H227" s="604"/>
    </row>
    <row r="228" spans="1:8" ht="19.5" thickBot="1">
      <c r="A228" s="576">
        <v>5410</v>
      </c>
      <c r="B228" s="576" t="s">
        <v>191</v>
      </c>
      <c r="C228" s="577" t="s">
        <v>1032</v>
      </c>
      <c r="D228" s="576">
        <v>54</v>
      </c>
      <c r="E228" s="578" t="s">
        <v>1033</v>
      </c>
      <c r="F228" s="579" t="s">
        <v>358</v>
      </c>
      <c r="G228" s="580">
        <v>190000</v>
      </c>
      <c r="H228" s="581" t="s">
        <v>2439</v>
      </c>
    </row>
    <row r="229" spans="1:8" ht="24" customHeight="1" thickBot="1">
      <c r="A229" s="576">
        <v>5430</v>
      </c>
      <c r="B229" s="576" t="s">
        <v>256</v>
      </c>
      <c r="C229" s="577" t="s">
        <v>1036</v>
      </c>
      <c r="D229" s="576">
        <v>59</v>
      </c>
      <c r="E229" s="578" t="s">
        <v>1037</v>
      </c>
      <c r="F229" s="579" t="s">
        <v>433</v>
      </c>
      <c r="G229" s="580">
        <v>17000</v>
      </c>
      <c r="H229" s="581" t="s">
        <v>2442</v>
      </c>
    </row>
    <row r="230" spans="1:8" ht="21.75" customHeight="1" thickBot="1">
      <c r="A230" s="602" t="s">
        <v>4135</v>
      </c>
      <c r="B230" s="603"/>
      <c r="C230" s="603"/>
      <c r="D230" s="603"/>
      <c r="E230" s="603"/>
      <c r="F230" s="603"/>
      <c r="G230" s="603"/>
      <c r="H230" s="604"/>
    </row>
    <row r="231" spans="1:8" ht="21.75" customHeight="1" thickBot="1">
      <c r="A231" s="606">
        <v>5925</v>
      </c>
      <c r="B231" s="684" t="s">
        <v>37</v>
      </c>
      <c r="C231" s="608">
        <v>9525.0161290322576</v>
      </c>
      <c r="D231" s="576">
        <v>62</v>
      </c>
      <c r="E231" s="609" t="s">
        <v>4192</v>
      </c>
      <c r="F231" s="610" t="s">
        <v>1044</v>
      </c>
      <c r="G231" s="611">
        <v>21500</v>
      </c>
      <c r="H231" s="612">
        <v>5925</v>
      </c>
    </row>
    <row r="232" spans="1:8" ht="19.5" thickBot="1">
      <c r="A232" s="576">
        <v>5925</v>
      </c>
      <c r="B232" s="576" t="s">
        <v>37</v>
      </c>
      <c r="C232" s="577" t="s">
        <v>1042</v>
      </c>
      <c r="D232" s="576">
        <v>60</v>
      </c>
      <c r="E232" s="578" t="s">
        <v>1043</v>
      </c>
      <c r="F232" s="579" t="s">
        <v>1044</v>
      </c>
      <c r="G232" s="580">
        <v>29000</v>
      </c>
      <c r="H232" s="581" t="s">
        <v>2452</v>
      </c>
    </row>
    <row r="233" spans="1:8" ht="19.5" thickBot="1">
      <c r="A233" s="602" t="s">
        <v>4136</v>
      </c>
      <c r="B233" s="603"/>
      <c r="C233" s="603"/>
      <c r="D233" s="603"/>
      <c r="E233" s="603"/>
      <c r="F233" s="603"/>
      <c r="G233" s="603"/>
      <c r="H233" s="604"/>
    </row>
    <row r="234" spans="1:8" ht="22.5" customHeight="1" thickBot="1">
      <c r="A234" s="576">
        <v>6110</v>
      </c>
      <c r="B234" s="576" t="s">
        <v>37</v>
      </c>
      <c r="C234" s="577" t="s">
        <v>1051</v>
      </c>
      <c r="D234" s="576">
        <v>53</v>
      </c>
      <c r="E234" s="578" t="s">
        <v>1052</v>
      </c>
      <c r="F234" s="579" t="s">
        <v>78</v>
      </c>
      <c r="G234" s="580">
        <v>350000</v>
      </c>
      <c r="H234" s="581" t="s">
        <v>2459</v>
      </c>
    </row>
    <row r="235" spans="1:8" ht="38.25" thickBot="1">
      <c r="A235" s="576">
        <v>6110</v>
      </c>
      <c r="B235" s="576" t="s">
        <v>37</v>
      </c>
      <c r="C235" s="577" t="s">
        <v>1053</v>
      </c>
      <c r="D235" s="576">
        <v>53</v>
      </c>
      <c r="E235" s="578" t="s">
        <v>1054</v>
      </c>
      <c r="F235" s="579" t="s">
        <v>78</v>
      </c>
      <c r="G235" s="580">
        <v>738000</v>
      </c>
      <c r="H235" s="581" t="s">
        <v>2459</v>
      </c>
    </row>
    <row r="236" spans="1:8" ht="30.75" customHeight="1" thickBot="1">
      <c r="A236" s="576">
        <v>6110</v>
      </c>
      <c r="B236" s="576" t="s">
        <v>37</v>
      </c>
      <c r="C236" s="577" t="s">
        <v>1055</v>
      </c>
      <c r="D236" s="576">
        <v>58</v>
      </c>
      <c r="E236" s="578" t="s">
        <v>1056</v>
      </c>
      <c r="F236" s="579" t="s">
        <v>78</v>
      </c>
      <c r="G236" s="580">
        <v>180000</v>
      </c>
      <c r="H236" s="581" t="s">
        <v>2459</v>
      </c>
    </row>
    <row r="237" spans="1:8" ht="38.25" thickBot="1">
      <c r="A237" s="576">
        <v>6110</v>
      </c>
      <c r="B237" s="576" t="s">
        <v>37</v>
      </c>
      <c r="C237" s="577" t="s">
        <v>1057</v>
      </c>
      <c r="D237" s="576">
        <v>58</v>
      </c>
      <c r="E237" s="578" t="s">
        <v>1058</v>
      </c>
      <c r="F237" s="579" t="s">
        <v>78</v>
      </c>
      <c r="G237" s="580">
        <v>450000</v>
      </c>
      <c r="H237" s="581" t="s">
        <v>2459</v>
      </c>
    </row>
    <row r="238" spans="1:8" ht="38.25" thickBot="1">
      <c r="A238" s="576">
        <v>6110</v>
      </c>
      <c r="B238" s="576" t="s">
        <v>37</v>
      </c>
      <c r="C238" s="577" t="s">
        <v>1059</v>
      </c>
      <c r="D238" s="576">
        <v>58</v>
      </c>
      <c r="E238" s="578" t="s">
        <v>1060</v>
      </c>
      <c r="F238" s="579" t="s">
        <v>78</v>
      </c>
      <c r="G238" s="580">
        <v>350000</v>
      </c>
      <c r="H238" s="581" t="s">
        <v>2459</v>
      </c>
    </row>
    <row r="239" spans="1:8" ht="38.25" thickBot="1">
      <c r="A239" s="576">
        <v>6110</v>
      </c>
      <c r="B239" s="576" t="s">
        <v>37</v>
      </c>
      <c r="C239" s="577" t="s">
        <v>1061</v>
      </c>
      <c r="D239" s="576">
        <v>58</v>
      </c>
      <c r="E239" s="578" t="s">
        <v>1062</v>
      </c>
      <c r="F239" s="579" t="s">
        <v>78</v>
      </c>
      <c r="G239" s="580">
        <v>300000</v>
      </c>
      <c r="H239" s="581" t="s">
        <v>2459</v>
      </c>
    </row>
    <row r="240" spans="1:8" ht="38.25" thickBot="1">
      <c r="A240" s="576">
        <v>6110</v>
      </c>
      <c r="B240" s="576" t="s">
        <v>37</v>
      </c>
      <c r="C240" s="577" t="s">
        <v>1063</v>
      </c>
      <c r="D240" s="576">
        <v>58</v>
      </c>
      <c r="E240" s="578" t="s">
        <v>1064</v>
      </c>
      <c r="F240" s="579" t="s">
        <v>78</v>
      </c>
      <c r="G240" s="580">
        <v>450000</v>
      </c>
      <c r="H240" s="581" t="s">
        <v>2459</v>
      </c>
    </row>
    <row r="241" spans="1:8" ht="19.5" thickBot="1">
      <c r="A241" s="576">
        <v>6110</v>
      </c>
      <c r="B241" s="576" t="s">
        <v>37</v>
      </c>
      <c r="C241" s="577" t="s">
        <v>1065</v>
      </c>
      <c r="D241" s="576">
        <v>61</v>
      </c>
      <c r="E241" s="578" t="s">
        <v>1066</v>
      </c>
      <c r="F241" s="579" t="s">
        <v>78</v>
      </c>
      <c r="G241" s="580">
        <v>1500000</v>
      </c>
      <c r="H241" s="581" t="s">
        <v>2459</v>
      </c>
    </row>
    <row r="242" spans="1:8" ht="19.5" thickBot="1">
      <c r="A242" s="576">
        <v>6110</v>
      </c>
      <c r="B242" s="576" t="s">
        <v>37</v>
      </c>
      <c r="C242" s="577" t="s">
        <v>1067</v>
      </c>
      <c r="D242" s="576">
        <v>59</v>
      </c>
      <c r="E242" s="578" t="s">
        <v>4193</v>
      </c>
      <c r="F242" s="579" t="s">
        <v>78</v>
      </c>
      <c r="G242" s="580">
        <v>800000</v>
      </c>
      <c r="H242" s="581">
        <v>6110</v>
      </c>
    </row>
    <row r="243" spans="1:8" ht="19.5" thickBot="1">
      <c r="A243" s="576">
        <v>6110</v>
      </c>
      <c r="B243" s="576" t="s">
        <v>37</v>
      </c>
      <c r="C243" s="577" t="s">
        <v>1069</v>
      </c>
      <c r="D243" s="576">
        <v>60</v>
      </c>
      <c r="E243" s="578" t="s">
        <v>1070</v>
      </c>
      <c r="F243" s="579" t="s">
        <v>78</v>
      </c>
      <c r="G243" s="580">
        <v>1200000</v>
      </c>
      <c r="H243" s="581" t="s">
        <v>2459</v>
      </c>
    </row>
    <row r="244" spans="1:8" ht="19.5" thickBot="1">
      <c r="A244" s="576">
        <v>6110</v>
      </c>
      <c r="B244" s="576" t="s">
        <v>37</v>
      </c>
      <c r="C244" s="577" t="s">
        <v>1071</v>
      </c>
      <c r="D244" s="576">
        <v>56</v>
      </c>
      <c r="E244" s="578" t="s">
        <v>1072</v>
      </c>
      <c r="F244" s="579" t="s">
        <v>78</v>
      </c>
      <c r="G244" s="580">
        <v>1500000</v>
      </c>
      <c r="H244" s="581" t="s">
        <v>2459</v>
      </c>
    </row>
    <row r="245" spans="1:8" ht="19.5" thickBot="1">
      <c r="A245" s="576">
        <v>6110</v>
      </c>
      <c r="B245" s="576" t="s">
        <v>37</v>
      </c>
      <c r="C245" s="577" t="s">
        <v>1073</v>
      </c>
      <c r="D245" s="576">
        <v>55</v>
      </c>
      <c r="E245" s="578" t="s">
        <v>1074</v>
      </c>
      <c r="F245" s="579" t="s">
        <v>78</v>
      </c>
      <c r="G245" s="580">
        <v>1350000</v>
      </c>
      <c r="H245" s="581" t="s">
        <v>2459</v>
      </c>
    </row>
    <row r="246" spans="1:8" ht="19.5" thickBot="1">
      <c r="A246" s="576">
        <v>6110</v>
      </c>
      <c r="B246" s="576" t="s">
        <v>37</v>
      </c>
      <c r="C246" s="577" t="s">
        <v>1075</v>
      </c>
      <c r="D246" s="576">
        <v>57</v>
      </c>
      <c r="E246" s="578" t="s">
        <v>1076</v>
      </c>
      <c r="F246" s="579" t="s">
        <v>78</v>
      </c>
      <c r="G246" s="580">
        <v>1050000</v>
      </c>
      <c r="H246" s="581" t="s">
        <v>2459</v>
      </c>
    </row>
    <row r="247" spans="1:8" ht="19.5" thickBot="1">
      <c r="A247" s="576">
        <v>6115</v>
      </c>
      <c r="B247" s="576" t="s">
        <v>37</v>
      </c>
      <c r="C247" s="577" t="s">
        <v>1077</v>
      </c>
      <c r="D247" s="576">
        <v>58</v>
      </c>
      <c r="E247" s="578" t="s">
        <v>4244</v>
      </c>
      <c r="F247" s="579" t="s">
        <v>78</v>
      </c>
      <c r="G247" s="580">
        <v>260000</v>
      </c>
      <c r="H247" s="581" t="s">
        <v>2460</v>
      </c>
    </row>
    <row r="248" spans="1:8" ht="19.5" thickBot="1">
      <c r="A248" s="576">
        <v>6115</v>
      </c>
      <c r="B248" s="576" t="s">
        <v>37</v>
      </c>
      <c r="C248" s="577" t="s">
        <v>1080</v>
      </c>
      <c r="D248" s="576">
        <v>60</v>
      </c>
      <c r="E248" s="578" t="s">
        <v>782</v>
      </c>
      <c r="F248" s="579" t="s">
        <v>78</v>
      </c>
      <c r="G248" s="580">
        <v>670000</v>
      </c>
      <c r="H248" s="581" t="s">
        <v>2460</v>
      </c>
    </row>
    <row r="249" spans="1:8" ht="19.5" thickBot="1">
      <c r="A249" s="576">
        <v>6115</v>
      </c>
      <c r="B249" s="576" t="s">
        <v>37</v>
      </c>
      <c r="C249" s="577" t="s">
        <v>1083</v>
      </c>
      <c r="D249" s="576">
        <v>60</v>
      </c>
      <c r="E249" s="578" t="s">
        <v>1084</v>
      </c>
      <c r="F249" s="579" t="s">
        <v>78</v>
      </c>
      <c r="G249" s="580">
        <v>758000</v>
      </c>
      <c r="H249" s="581" t="s">
        <v>2460</v>
      </c>
    </row>
    <row r="250" spans="1:8" ht="38.25" thickBot="1">
      <c r="A250" s="537" t="s">
        <v>10</v>
      </c>
      <c r="B250" s="537" t="s">
        <v>2</v>
      </c>
      <c r="C250" s="537" t="s">
        <v>3</v>
      </c>
      <c r="D250" s="537" t="s">
        <v>4</v>
      </c>
      <c r="E250" s="537" t="s">
        <v>2754</v>
      </c>
      <c r="F250" s="538" t="s">
        <v>3600</v>
      </c>
      <c r="G250" s="538" t="s">
        <v>7</v>
      </c>
      <c r="H250" s="538" t="s">
        <v>8</v>
      </c>
    </row>
    <row r="251" spans="1:8" ht="19.5" thickBot="1">
      <c r="A251" s="576">
        <v>6115</v>
      </c>
      <c r="B251" s="576" t="s">
        <v>37</v>
      </c>
      <c r="C251" s="577" t="s">
        <v>1088</v>
      </c>
      <c r="D251" s="576">
        <v>57</v>
      </c>
      <c r="E251" s="578" t="s">
        <v>1089</v>
      </c>
      <c r="F251" s="579" t="s">
        <v>78</v>
      </c>
      <c r="G251" s="580">
        <v>13000</v>
      </c>
      <c r="H251" s="581" t="s">
        <v>2460</v>
      </c>
    </row>
    <row r="252" spans="1:8" ht="19.5" thickBot="1">
      <c r="A252" s="576">
        <v>6115</v>
      </c>
      <c r="B252" s="576" t="s">
        <v>37</v>
      </c>
      <c r="C252" s="577" t="s">
        <v>1085</v>
      </c>
      <c r="D252" s="576">
        <v>54</v>
      </c>
      <c r="E252" s="578" t="s">
        <v>1086</v>
      </c>
      <c r="F252" s="579" t="s">
        <v>78</v>
      </c>
      <c r="G252" s="580">
        <v>150000</v>
      </c>
      <c r="H252" s="581" t="s">
        <v>2460</v>
      </c>
    </row>
    <row r="253" spans="1:8" ht="19.5" thickBot="1">
      <c r="A253" s="576">
        <v>6115</v>
      </c>
      <c r="B253" s="576" t="s">
        <v>37</v>
      </c>
      <c r="C253" s="577" t="s">
        <v>1090</v>
      </c>
      <c r="D253" s="576">
        <v>58</v>
      </c>
      <c r="E253" s="578" t="s">
        <v>1091</v>
      </c>
      <c r="F253" s="579" t="s">
        <v>78</v>
      </c>
      <c r="G253" s="580">
        <v>1400000</v>
      </c>
      <c r="H253" s="581" t="s">
        <v>2460</v>
      </c>
    </row>
    <row r="254" spans="1:8" ht="38.25" thickBot="1">
      <c r="A254" s="576">
        <v>6115</v>
      </c>
      <c r="B254" s="576" t="s">
        <v>37</v>
      </c>
      <c r="C254" s="577" t="s">
        <v>1092</v>
      </c>
      <c r="D254" s="576">
        <v>58</v>
      </c>
      <c r="E254" s="578" t="s">
        <v>1093</v>
      </c>
      <c r="F254" s="579" t="s">
        <v>78</v>
      </c>
      <c r="G254" s="580" t="s">
        <v>1094</v>
      </c>
      <c r="H254" s="581" t="s">
        <v>2460</v>
      </c>
    </row>
    <row r="255" spans="1:8" ht="38.25" thickBot="1">
      <c r="A255" s="576">
        <v>6115</v>
      </c>
      <c r="B255" s="576" t="s">
        <v>37</v>
      </c>
      <c r="C255" s="577" t="s">
        <v>1095</v>
      </c>
      <c r="D255" s="576">
        <v>58</v>
      </c>
      <c r="E255" s="578" t="s">
        <v>1096</v>
      </c>
      <c r="F255" s="579" t="s">
        <v>78</v>
      </c>
      <c r="G255" s="580">
        <v>1250000</v>
      </c>
      <c r="H255" s="581" t="s">
        <v>2460</v>
      </c>
    </row>
    <row r="256" spans="1:8" ht="19.5" thickBot="1">
      <c r="A256" s="576">
        <v>6115</v>
      </c>
      <c r="B256" s="576" t="s">
        <v>37</v>
      </c>
      <c r="C256" s="577" t="s">
        <v>1099</v>
      </c>
      <c r="D256" s="576">
        <v>55</v>
      </c>
      <c r="E256" s="578" t="s">
        <v>1100</v>
      </c>
      <c r="F256" s="579" t="s">
        <v>78</v>
      </c>
      <c r="G256" s="580">
        <v>27500</v>
      </c>
      <c r="H256" s="581" t="s">
        <v>2460</v>
      </c>
    </row>
    <row r="257" spans="1:8" ht="19.5" thickBot="1">
      <c r="A257" s="576">
        <v>6115</v>
      </c>
      <c r="B257" s="576" t="s">
        <v>37</v>
      </c>
      <c r="C257" s="577" t="s">
        <v>1107</v>
      </c>
      <c r="D257" s="576">
        <v>61</v>
      </c>
      <c r="E257" s="578" t="s">
        <v>787</v>
      </c>
      <c r="F257" s="579" t="s">
        <v>78</v>
      </c>
      <c r="G257" s="580">
        <v>57500</v>
      </c>
      <c r="H257" s="581" t="s">
        <v>2460</v>
      </c>
    </row>
    <row r="258" spans="1:8" ht="19.5" thickBot="1">
      <c r="A258" s="576">
        <v>6115</v>
      </c>
      <c r="B258" s="576" t="s">
        <v>37</v>
      </c>
      <c r="C258" s="577" t="s">
        <v>1097</v>
      </c>
      <c r="D258" s="576">
        <v>54</v>
      </c>
      <c r="E258" s="578" t="s">
        <v>1098</v>
      </c>
      <c r="F258" s="579" t="s">
        <v>78</v>
      </c>
      <c r="G258" s="580">
        <v>385000</v>
      </c>
      <c r="H258" s="581" t="s">
        <v>2460</v>
      </c>
    </row>
    <row r="259" spans="1:8" ht="19.5" thickBot="1">
      <c r="A259" s="576">
        <v>6115</v>
      </c>
      <c r="B259" s="576" t="s">
        <v>37</v>
      </c>
      <c r="C259" s="577" t="s">
        <v>1101</v>
      </c>
      <c r="D259" s="576">
        <v>53</v>
      </c>
      <c r="E259" s="578" t="s">
        <v>1102</v>
      </c>
      <c r="F259" s="579" t="s">
        <v>78</v>
      </c>
      <c r="G259" s="580">
        <v>2370000</v>
      </c>
      <c r="H259" s="581" t="s">
        <v>2460</v>
      </c>
    </row>
    <row r="260" spans="1:8" ht="19.5" thickBot="1">
      <c r="A260" s="576">
        <v>6115</v>
      </c>
      <c r="B260" s="576" t="s">
        <v>37</v>
      </c>
      <c r="C260" s="577" t="s">
        <v>1103</v>
      </c>
      <c r="D260" s="576">
        <v>53</v>
      </c>
      <c r="E260" s="578" t="s">
        <v>1104</v>
      </c>
      <c r="F260" s="579" t="s">
        <v>78</v>
      </c>
      <c r="G260" s="580">
        <v>3350000</v>
      </c>
      <c r="H260" s="581" t="s">
        <v>2460</v>
      </c>
    </row>
    <row r="261" spans="1:8" ht="19.5" thickBot="1">
      <c r="A261" s="576">
        <v>6115</v>
      </c>
      <c r="B261" s="576" t="s">
        <v>37</v>
      </c>
      <c r="C261" s="577" t="s">
        <v>1108</v>
      </c>
      <c r="D261" s="576">
        <v>59</v>
      </c>
      <c r="E261" s="578" t="s">
        <v>1109</v>
      </c>
      <c r="F261" s="579" t="s">
        <v>78</v>
      </c>
      <c r="G261" s="580">
        <v>8000000</v>
      </c>
      <c r="H261" s="581" t="s">
        <v>2460</v>
      </c>
    </row>
    <row r="262" spans="1:8" ht="19.5" thickBot="1">
      <c r="A262" s="576">
        <v>6115</v>
      </c>
      <c r="B262" s="576" t="s">
        <v>37</v>
      </c>
      <c r="C262" s="577" t="s">
        <v>1115</v>
      </c>
      <c r="D262" s="576">
        <v>60</v>
      </c>
      <c r="E262" s="578" t="s">
        <v>1116</v>
      </c>
      <c r="F262" s="579" t="s">
        <v>78</v>
      </c>
      <c r="G262" s="580">
        <v>20000</v>
      </c>
      <c r="H262" s="581" t="s">
        <v>2460</v>
      </c>
    </row>
    <row r="263" spans="1:8" ht="19.5" thickBot="1">
      <c r="A263" s="576">
        <v>6125</v>
      </c>
      <c r="B263" s="576" t="s">
        <v>372</v>
      </c>
      <c r="C263" s="577" t="s">
        <v>1120</v>
      </c>
      <c r="D263" s="576">
        <v>54</v>
      </c>
      <c r="E263" s="578" t="s">
        <v>1121</v>
      </c>
      <c r="F263" s="579" t="s">
        <v>78</v>
      </c>
      <c r="G263" s="580">
        <v>125000</v>
      </c>
      <c r="H263" s="581" t="s">
        <v>2462</v>
      </c>
    </row>
    <row r="264" spans="1:8" ht="19.5" thickBot="1">
      <c r="A264" s="576">
        <v>6125</v>
      </c>
      <c r="B264" s="576" t="s">
        <v>372</v>
      </c>
      <c r="C264" s="577" t="s">
        <v>1125</v>
      </c>
      <c r="D264" s="576">
        <v>54</v>
      </c>
      <c r="E264" s="578" t="s">
        <v>1126</v>
      </c>
      <c r="F264" s="579" t="s">
        <v>78</v>
      </c>
      <c r="G264" s="580">
        <v>72000</v>
      </c>
      <c r="H264" s="581" t="s">
        <v>2462</v>
      </c>
    </row>
    <row r="265" spans="1:8" ht="19.5" thickBot="1">
      <c r="A265" s="576">
        <v>6125</v>
      </c>
      <c r="B265" s="576" t="s">
        <v>37</v>
      </c>
      <c r="C265" s="577" t="s">
        <v>1127</v>
      </c>
      <c r="D265" s="576">
        <v>61</v>
      </c>
      <c r="E265" s="578" t="s">
        <v>1128</v>
      </c>
      <c r="F265" s="579" t="s">
        <v>78</v>
      </c>
      <c r="G265" s="580">
        <v>1150000</v>
      </c>
      <c r="H265" s="581" t="s">
        <v>2462</v>
      </c>
    </row>
    <row r="266" spans="1:8" ht="19.5" thickBot="1">
      <c r="A266" s="576">
        <v>6125</v>
      </c>
      <c r="B266" s="576" t="s">
        <v>37</v>
      </c>
      <c r="C266" s="577" t="s">
        <v>1129</v>
      </c>
      <c r="D266" s="576">
        <v>61</v>
      </c>
      <c r="E266" s="578" t="s">
        <v>1130</v>
      </c>
      <c r="F266" s="579" t="s">
        <v>78</v>
      </c>
      <c r="G266" s="580">
        <v>850000</v>
      </c>
      <c r="H266" s="581" t="s">
        <v>2462</v>
      </c>
    </row>
    <row r="267" spans="1:8" ht="19.5" thickBot="1">
      <c r="A267" s="576">
        <v>6125</v>
      </c>
      <c r="B267" s="576" t="s">
        <v>372</v>
      </c>
      <c r="C267" s="577" t="s">
        <v>1131</v>
      </c>
      <c r="D267" s="576">
        <v>53</v>
      </c>
      <c r="E267" s="578" t="s">
        <v>1132</v>
      </c>
      <c r="F267" s="579" t="s">
        <v>78</v>
      </c>
      <c r="G267" s="580">
        <v>250000</v>
      </c>
      <c r="H267" s="581" t="s">
        <v>2462</v>
      </c>
    </row>
    <row r="268" spans="1:8" ht="19.5" thickBot="1">
      <c r="A268" s="576">
        <v>6125</v>
      </c>
      <c r="B268" s="576" t="s">
        <v>372</v>
      </c>
      <c r="C268" s="577" t="s">
        <v>1133</v>
      </c>
      <c r="D268" s="576">
        <v>53</v>
      </c>
      <c r="E268" s="578" t="s">
        <v>1134</v>
      </c>
      <c r="F268" s="579" t="s">
        <v>78</v>
      </c>
      <c r="G268" s="580">
        <v>80000</v>
      </c>
      <c r="H268" s="581" t="s">
        <v>2462</v>
      </c>
    </row>
    <row r="269" spans="1:8" ht="19.5" thickBot="1">
      <c r="A269" s="576">
        <v>6125</v>
      </c>
      <c r="B269" s="576" t="s">
        <v>37</v>
      </c>
      <c r="C269" s="577" t="s">
        <v>1135</v>
      </c>
      <c r="D269" s="576">
        <v>55</v>
      </c>
      <c r="E269" s="578" t="s">
        <v>1136</v>
      </c>
      <c r="F269" s="579" t="s">
        <v>78</v>
      </c>
      <c r="G269" s="580">
        <v>1800000</v>
      </c>
      <c r="H269" s="581" t="s">
        <v>2462</v>
      </c>
    </row>
    <row r="270" spans="1:8" ht="19.5" thickBot="1">
      <c r="A270" s="576">
        <v>6125</v>
      </c>
      <c r="B270" s="576" t="s">
        <v>37</v>
      </c>
      <c r="C270" s="577" t="s">
        <v>1137</v>
      </c>
      <c r="D270" s="576">
        <v>55</v>
      </c>
      <c r="E270" s="578" t="s">
        <v>1138</v>
      </c>
      <c r="F270" s="579" t="s">
        <v>78</v>
      </c>
      <c r="G270" s="580">
        <v>2500000</v>
      </c>
      <c r="H270" s="581" t="s">
        <v>2462</v>
      </c>
    </row>
    <row r="271" spans="1:8" ht="19.5" thickBot="1">
      <c r="A271" s="576">
        <v>6130</v>
      </c>
      <c r="B271" s="576" t="s">
        <v>157</v>
      </c>
      <c r="C271" s="577" t="s">
        <v>1139</v>
      </c>
      <c r="D271" s="576">
        <v>56</v>
      </c>
      <c r="E271" s="578" t="s">
        <v>1140</v>
      </c>
      <c r="F271" s="579" t="s">
        <v>78</v>
      </c>
      <c r="G271" s="580">
        <v>9500</v>
      </c>
      <c r="H271" s="581" t="s">
        <v>2464</v>
      </c>
    </row>
    <row r="272" spans="1:8" ht="19.5" thickBot="1">
      <c r="A272" s="576">
        <v>6130</v>
      </c>
      <c r="B272" s="576" t="s">
        <v>157</v>
      </c>
      <c r="C272" s="577" t="s">
        <v>1141</v>
      </c>
      <c r="D272" s="576">
        <v>54</v>
      </c>
      <c r="E272" s="578" t="s">
        <v>1142</v>
      </c>
      <c r="F272" s="579" t="s">
        <v>78</v>
      </c>
      <c r="G272" s="580">
        <v>12500</v>
      </c>
      <c r="H272" s="581" t="s">
        <v>2464</v>
      </c>
    </row>
    <row r="273" spans="1:8" ht="19.5" thickBot="1">
      <c r="A273" s="576">
        <v>6130</v>
      </c>
      <c r="B273" s="576" t="s">
        <v>372</v>
      </c>
      <c r="C273" s="577" t="s">
        <v>1143</v>
      </c>
      <c r="D273" s="576">
        <v>56</v>
      </c>
      <c r="E273" s="578" t="s">
        <v>1144</v>
      </c>
      <c r="F273" s="579" t="s">
        <v>78</v>
      </c>
      <c r="G273" s="580">
        <v>27200</v>
      </c>
      <c r="H273" s="581" t="s">
        <v>2464</v>
      </c>
    </row>
    <row r="274" spans="1:8" ht="19.5" thickBot="1">
      <c r="A274" s="576">
        <v>6130</v>
      </c>
      <c r="B274" s="576" t="s">
        <v>372</v>
      </c>
      <c r="C274" s="577" t="s">
        <v>1145</v>
      </c>
      <c r="D274" s="576">
        <v>56</v>
      </c>
      <c r="E274" s="578" t="s">
        <v>1146</v>
      </c>
      <c r="F274" s="579" t="s">
        <v>78</v>
      </c>
      <c r="G274" s="580">
        <v>13500</v>
      </c>
      <c r="H274" s="581" t="s">
        <v>2464</v>
      </c>
    </row>
    <row r="275" spans="1:8" ht="19.5" thickBot="1">
      <c r="A275" s="576">
        <v>6150</v>
      </c>
      <c r="B275" s="576" t="s">
        <v>37</v>
      </c>
      <c r="C275" s="577" t="s">
        <v>1149</v>
      </c>
      <c r="D275" s="576">
        <v>58</v>
      </c>
      <c r="E275" s="578" t="s">
        <v>1150</v>
      </c>
      <c r="F275" s="579" t="s">
        <v>53</v>
      </c>
      <c r="G275" s="580">
        <v>390000</v>
      </c>
      <c r="H275" s="581" t="s">
        <v>2465</v>
      </c>
    </row>
    <row r="276" spans="1:8" ht="19.5" thickBot="1">
      <c r="A276" s="576">
        <v>6150</v>
      </c>
      <c r="B276" s="576" t="s">
        <v>37</v>
      </c>
      <c r="C276" s="577" t="s">
        <v>4194</v>
      </c>
      <c r="D276" s="576">
        <v>58</v>
      </c>
      <c r="E276" s="578" t="s">
        <v>4250</v>
      </c>
      <c r="F276" s="579" t="s">
        <v>53</v>
      </c>
      <c r="G276" s="580">
        <v>390000</v>
      </c>
      <c r="H276" s="581" t="s">
        <v>2465</v>
      </c>
    </row>
    <row r="277" spans="1:8" ht="19.5" thickBot="1">
      <c r="A277" s="576">
        <v>6150</v>
      </c>
      <c r="B277" s="576" t="s">
        <v>37</v>
      </c>
      <c r="C277" s="577" t="s">
        <v>1151</v>
      </c>
      <c r="D277" s="576">
        <v>55</v>
      </c>
      <c r="E277" s="578" t="s">
        <v>1152</v>
      </c>
      <c r="F277" s="579" t="s">
        <v>78</v>
      </c>
      <c r="G277" s="580">
        <v>38000</v>
      </c>
      <c r="H277" s="581" t="s">
        <v>2465</v>
      </c>
    </row>
    <row r="278" spans="1:8" ht="19.5" thickBot="1">
      <c r="A278" s="602" t="s">
        <v>4137</v>
      </c>
      <c r="B278" s="603"/>
      <c r="C278" s="603"/>
      <c r="D278" s="603"/>
      <c r="E278" s="603"/>
      <c r="F278" s="603"/>
      <c r="G278" s="603"/>
      <c r="H278" s="604"/>
    </row>
    <row r="279" spans="1:8" ht="19.5" thickBot="1">
      <c r="A279" s="576">
        <v>6210</v>
      </c>
      <c r="B279" s="576" t="s">
        <v>37</v>
      </c>
      <c r="C279" s="577" t="s">
        <v>1153</v>
      </c>
      <c r="D279" s="576">
        <v>58</v>
      </c>
      <c r="E279" s="578" t="s">
        <v>1154</v>
      </c>
      <c r="F279" s="579" t="s">
        <v>53</v>
      </c>
      <c r="G279" s="580">
        <v>25000</v>
      </c>
      <c r="H279" s="581" t="s">
        <v>2466</v>
      </c>
    </row>
    <row r="280" spans="1:8" ht="19.5" thickBot="1">
      <c r="A280" s="576">
        <v>6210</v>
      </c>
      <c r="B280" s="576" t="s">
        <v>37</v>
      </c>
      <c r="C280" s="577" t="s">
        <v>1155</v>
      </c>
      <c r="D280" s="576">
        <v>58</v>
      </c>
      <c r="E280" s="578" t="s">
        <v>1156</v>
      </c>
      <c r="F280" s="579" t="s">
        <v>53</v>
      </c>
      <c r="G280" s="580">
        <v>25000</v>
      </c>
      <c r="H280" s="581" t="s">
        <v>2466</v>
      </c>
    </row>
    <row r="281" spans="1:8" ht="19.5" thickBot="1">
      <c r="A281" s="576">
        <v>6210</v>
      </c>
      <c r="B281" s="576" t="s">
        <v>37</v>
      </c>
      <c r="C281" s="577" t="s">
        <v>4178</v>
      </c>
      <c r="D281" s="576">
        <v>62</v>
      </c>
      <c r="E281" s="578" t="s">
        <v>4176</v>
      </c>
      <c r="F281" s="579" t="s">
        <v>53</v>
      </c>
      <c r="G281" s="580">
        <v>450000</v>
      </c>
      <c r="H281" s="581" t="s">
        <v>2466</v>
      </c>
    </row>
    <row r="282" spans="1:8" ht="19.5" thickBot="1">
      <c r="A282" s="576">
        <v>6210</v>
      </c>
      <c r="B282" s="576" t="s">
        <v>37</v>
      </c>
      <c r="C282" s="577" t="s">
        <v>4179</v>
      </c>
      <c r="D282" s="576">
        <v>62</v>
      </c>
      <c r="E282" s="578" t="s">
        <v>4177</v>
      </c>
      <c r="F282" s="579" t="s">
        <v>53</v>
      </c>
      <c r="G282" s="580">
        <v>1500000</v>
      </c>
      <c r="H282" s="581" t="s">
        <v>2466</v>
      </c>
    </row>
    <row r="283" spans="1:8" ht="19.5" thickBot="1">
      <c r="A283" s="576">
        <v>6230</v>
      </c>
      <c r="B283" s="576" t="s">
        <v>37</v>
      </c>
      <c r="C283" s="577" t="s">
        <v>1162</v>
      </c>
      <c r="D283" s="576">
        <v>60</v>
      </c>
      <c r="E283" s="578" t="s">
        <v>1163</v>
      </c>
      <c r="F283" s="579" t="s">
        <v>78</v>
      </c>
      <c r="G283" s="580">
        <v>380000</v>
      </c>
      <c r="H283" s="581" t="s">
        <v>2467</v>
      </c>
    </row>
    <row r="284" spans="1:8" ht="19.5" thickBot="1">
      <c r="A284" s="576">
        <v>6230</v>
      </c>
      <c r="B284" s="576" t="s">
        <v>37</v>
      </c>
      <c r="C284" s="577" t="s">
        <v>1164</v>
      </c>
      <c r="D284" s="576">
        <v>60</v>
      </c>
      <c r="E284" s="578" t="s">
        <v>1165</v>
      </c>
      <c r="F284" s="579" t="s">
        <v>78</v>
      </c>
      <c r="G284" s="580">
        <v>428000</v>
      </c>
      <c r="H284" s="581" t="s">
        <v>2467</v>
      </c>
    </row>
    <row r="285" spans="1:8" ht="19.5" thickBot="1">
      <c r="A285" s="602" t="s">
        <v>4138</v>
      </c>
      <c r="B285" s="603"/>
      <c r="C285" s="603"/>
      <c r="D285" s="603"/>
      <c r="E285" s="603"/>
      <c r="F285" s="603"/>
      <c r="G285" s="603"/>
      <c r="H285" s="604"/>
    </row>
    <row r="286" spans="1:8" ht="19.5" thickBot="1">
      <c r="A286" s="576">
        <v>6625</v>
      </c>
      <c r="B286" s="576" t="s">
        <v>37</v>
      </c>
      <c r="C286" s="577" t="s">
        <v>1168</v>
      </c>
      <c r="D286" s="576">
        <v>57</v>
      </c>
      <c r="E286" s="578" t="s">
        <v>1169</v>
      </c>
      <c r="F286" s="579" t="s">
        <v>78</v>
      </c>
      <c r="G286" s="580">
        <v>300000</v>
      </c>
      <c r="H286" s="581" t="s">
        <v>2475</v>
      </c>
    </row>
    <row r="287" spans="1:8" ht="19.5" thickBot="1">
      <c r="A287" s="576">
        <v>6630</v>
      </c>
      <c r="B287" s="576" t="s">
        <v>256</v>
      </c>
      <c r="C287" s="577" t="s">
        <v>1170</v>
      </c>
      <c r="D287" s="576">
        <v>54</v>
      </c>
      <c r="E287" s="578" t="s">
        <v>1171</v>
      </c>
      <c r="F287" s="579" t="s">
        <v>78</v>
      </c>
      <c r="G287" s="580">
        <v>20000</v>
      </c>
      <c r="H287" s="581" t="s">
        <v>2478</v>
      </c>
    </row>
    <row r="288" spans="1:8" ht="19.5" thickBot="1">
      <c r="A288" s="576">
        <v>6630</v>
      </c>
      <c r="B288" s="576" t="s">
        <v>256</v>
      </c>
      <c r="C288" s="577" t="s">
        <v>4174</v>
      </c>
      <c r="D288" s="576">
        <v>62</v>
      </c>
      <c r="E288" s="578" t="s">
        <v>4175</v>
      </c>
      <c r="F288" s="579" t="s">
        <v>78</v>
      </c>
      <c r="G288" s="580">
        <v>5000</v>
      </c>
      <c r="H288" s="581" t="s">
        <v>2478</v>
      </c>
    </row>
    <row r="289" spans="1:8" ht="19.5" thickBot="1">
      <c r="A289" s="576">
        <v>6630</v>
      </c>
      <c r="B289" s="576" t="s">
        <v>256</v>
      </c>
      <c r="C289" s="577" t="s">
        <v>1174</v>
      </c>
      <c r="D289" s="576">
        <v>54</v>
      </c>
      <c r="E289" s="578" t="s">
        <v>1175</v>
      </c>
      <c r="F289" s="579" t="s">
        <v>78</v>
      </c>
      <c r="G289" s="580">
        <v>35000</v>
      </c>
      <c r="H289" s="581" t="s">
        <v>2478</v>
      </c>
    </row>
    <row r="290" spans="1:8" ht="38.25" thickBot="1">
      <c r="A290" s="576">
        <v>6635</v>
      </c>
      <c r="B290" s="576" t="s">
        <v>372</v>
      </c>
      <c r="C290" s="577" t="s">
        <v>1176</v>
      </c>
      <c r="D290" s="576">
        <v>60</v>
      </c>
      <c r="E290" s="578" t="s">
        <v>1177</v>
      </c>
      <c r="F290" s="579" t="s">
        <v>78</v>
      </c>
      <c r="G290" s="580">
        <v>130000</v>
      </c>
      <c r="H290" s="581" t="s">
        <v>2479</v>
      </c>
    </row>
    <row r="291" spans="1:8" ht="24" customHeight="1" thickBot="1">
      <c r="A291" s="576">
        <v>6635</v>
      </c>
      <c r="B291" s="576" t="s">
        <v>372</v>
      </c>
      <c r="C291" s="577" t="s">
        <v>1179</v>
      </c>
      <c r="D291" s="576">
        <v>60</v>
      </c>
      <c r="E291" s="578" t="s">
        <v>817</v>
      </c>
      <c r="F291" s="579" t="s">
        <v>78</v>
      </c>
      <c r="G291" s="580">
        <v>1350000</v>
      </c>
      <c r="H291" s="581" t="s">
        <v>2479</v>
      </c>
    </row>
    <row r="292" spans="1:8" ht="19.5" thickBot="1">
      <c r="A292" s="576">
        <v>6635</v>
      </c>
      <c r="B292" s="576" t="s">
        <v>372</v>
      </c>
      <c r="C292" s="577" t="s">
        <v>1181</v>
      </c>
      <c r="D292" s="576">
        <v>61</v>
      </c>
      <c r="E292" s="578" t="s">
        <v>1182</v>
      </c>
      <c r="F292" s="579" t="s">
        <v>78</v>
      </c>
      <c r="G292" s="580">
        <v>990000</v>
      </c>
      <c r="H292" s="581" t="s">
        <v>2479</v>
      </c>
    </row>
    <row r="293" spans="1:8" ht="38.25" thickBot="1">
      <c r="A293" s="537" t="s">
        <v>10</v>
      </c>
      <c r="B293" s="537" t="s">
        <v>2</v>
      </c>
      <c r="C293" s="537" t="s">
        <v>3</v>
      </c>
      <c r="D293" s="537" t="s">
        <v>4</v>
      </c>
      <c r="E293" s="537" t="s">
        <v>2754</v>
      </c>
      <c r="F293" s="538" t="s">
        <v>3600</v>
      </c>
      <c r="G293" s="538" t="s">
        <v>7</v>
      </c>
      <c r="H293" s="538" t="s">
        <v>8</v>
      </c>
    </row>
    <row r="294" spans="1:8" ht="38.25" thickBot="1">
      <c r="A294" s="576">
        <v>6635</v>
      </c>
      <c r="B294" s="576" t="s">
        <v>372</v>
      </c>
      <c r="C294" s="577" t="s">
        <v>1183</v>
      </c>
      <c r="D294" s="576">
        <v>61</v>
      </c>
      <c r="E294" s="578" t="s">
        <v>1184</v>
      </c>
      <c r="F294" s="579" t="s">
        <v>53</v>
      </c>
      <c r="G294" s="580">
        <v>825000</v>
      </c>
      <c r="H294" s="581" t="s">
        <v>2479</v>
      </c>
    </row>
    <row r="295" spans="1:8" ht="19.5" thickBot="1">
      <c r="A295" s="576">
        <v>6635</v>
      </c>
      <c r="B295" s="576" t="s">
        <v>372</v>
      </c>
      <c r="C295" s="577" t="s">
        <v>1185</v>
      </c>
      <c r="D295" s="576">
        <v>60</v>
      </c>
      <c r="E295" s="578" t="s">
        <v>1186</v>
      </c>
      <c r="F295" s="579" t="s">
        <v>53</v>
      </c>
      <c r="G295" s="580">
        <v>160000</v>
      </c>
      <c r="H295" s="581" t="s">
        <v>2479</v>
      </c>
    </row>
    <row r="296" spans="1:8" ht="19.5" thickBot="1">
      <c r="A296" s="576">
        <v>6635</v>
      </c>
      <c r="B296" s="576" t="s">
        <v>372</v>
      </c>
      <c r="C296" s="577" t="s">
        <v>1188</v>
      </c>
      <c r="D296" s="576">
        <v>60</v>
      </c>
      <c r="E296" s="578" t="s">
        <v>1189</v>
      </c>
      <c r="F296" s="579" t="s">
        <v>53</v>
      </c>
      <c r="G296" s="580">
        <v>1250000</v>
      </c>
      <c r="H296" s="581" t="s">
        <v>2479</v>
      </c>
    </row>
    <row r="297" spans="1:8" ht="38.25" thickBot="1">
      <c r="A297" s="576">
        <v>6635</v>
      </c>
      <c r="B297" s="576" t="s">
        <v>372</v>
      </c>
      <c r="C297" s="577" t="s">
        <v>1191</v>
      </c>
      <c r="D297" s="576">
        <v>56</v>
      </c>
      <c r="E297" s="578" t="s">
        <v>1192</v>
      </c>
      <c r="F297" s="579" t="s">
        <v>53</v>
      </c>
      <c r="G297" s="580">
        <v>150000</v>
      </c>
      <c r="H297" s="581" t="s">
        <v>2479</v>
      </c>
    </row>
    <row r="298" spans="1:8" ht="19.5" thickBot="1">
      <c r="A298" s="576">
        <v>6635</v>
      </c>
      <c r="B298" s="576" t="s">
        <v>372</v>
      </c>
      <c r="C298" s="577" t="s">
        <v>4173</v>
      </c>
      <c r="D298" s="576">
        <v>62</v>
      </c>
      <c r="E298" s="613" t="s">
        <v>4159</v>
      </c>
      <c r="F298" s="579" t="s">
        <v>53</v>
      </c>
      <c r="G298" s="580">
        <v>980000</v>
      </c>
      <c r="H298" s="579"/>
    </row>
    <row r="299" spans="1:8" ht="19.5" thickBot="1">
      <c r="A299" s="576">
        <v>6635</v>
      </c>
      <c r="B299" s="576" t="s">
        <v>372</v>
      </c>
      <c r="C299" s="577" t="s">
        <v>1206</v>
      </c>
      <c r="D299" s="576">
        <v>60</v>
      </c>
      <c r="E299" s="578" t="s">
        <v>1207</v>
      </c>
      <c r="F299" s="579" t="s">
        <v>53</v>
      </c>
      <c r="G299" s="580">
        <v>802500</v>
      </c>
      <c r="H299" s="581" t="s">
        <v>2479</v>
      </c>
    </row>
    <row r="300" spans="1:8" ht="19.5" thickBot="1">
      <c r="A300" s="576">
        <v>6635</v>
      </c>
      <c r="B300" s="576" t="s">
        <v>372</v>
      </c>
      <c r="C300" s="577" t="s">
        <v>1209</v>
      </c>
      <c r="D300" s="576">
        <v>60</v>
      </c>
      <c r="E300" s="578" t="s">
        <v>4115</v>
      </c>
      <c r="F300" s="579" t="s">
        <v>53</v>
      </c>
      <c r="G300" s="580">
        <v>100000</v>
      </c>
      <c r="H300" s="581" t="s">
        <v>2479</v>
      </c>
    </row>
    <row r="301" spans="1:8" ht="38.25" thickBot="1">
      <c r="A301" s="576">
        <v>6635</v>
      </c>
      <c r="B301" s="576" t="s">
        <v>372</v>
      </c>
      <c r="C301" s="577" t="s">
        <v>1212</v>
      </c>
      <c r="D301" s="576">
        <v>61</v>
      </c>
      <c r="E301" s="578" t="s">
        <v>824</v>
      </c>
      <c r="F301" s="579" t="s">
        <v>53</v>
      </c>
      <c r="G301" s="580">
        <v>1500000</v>
      </c>
      <c r="H301" s="581" t="s">
        <v>2479</v>
      </c>
    </row>
    <row r="302" spans="1:8" ht="19.5" thickBot="1">
      <c r="A302" s="576">
        <v>6635</v>
      </c>
      <c r="B302" s="576" t="s">
        <v>372</v>
      </c>
      <c r="C302" s="577" t="s">
        <v>1214</v>
      </c>
      <c r="D302" s="576">
        <v>60</v>
      </c>
      <c r="E302" s="578" t="s">
        <v>4251</v>
      </c>
      <c r="F302" s="579" t="s">
        <v>78</v>
      </c>
      <c r="G302" s="580">
        <v>150000</v>
      </c>
      <c r="H302" s="581" t="s">
        <v>2479</v>
      </c>
    </row>
    <row r="303" spans="1:8" ht="19.5" thickBot="1">
      <c r="A303" s="576">
        <v>6675</v>
      </c>
      <c r="B303" s="576" t="s">
        <v>372</v>
      </c>
      <c r="C303" s="577" t="s">
        <v>1217</v>
      </c>
      <c r="D303" s="576">
        <v>58</v>
      </c>
      <c r="E303" s="578" t="s">
        <v>1218</v>
      </c>
      <c r="F303" s="579" t="s">
        <v>78</v>
      </c>
      <c r="G303" s="580">
        <v>56000</v>
      </c>
      <c r="H303" s="581" t="s">
        <v>2482</v>
      </c>
    </row>
    <row r="304" spans="1:8" ht="38.25" thickBot="1">
      <c r="A304" s="576">
        <v>6675</v>
      </c>
      <c r="B304" s="576" t="s">
        <v>372</v>
      </c>
      <c r="C304" s="577" t="s">
        <v>1220</v>
      </c>
      <c r="D304" s="576">
        <v>59</v>
      </c>
      <c r="E304" s="578" t="s">
        <v>1221</v>
      </c>
      <c r="F304" s="579" t="s">
        <v>78</v>
      </c>
      <c r="G304" s="580">
        <v>23000</v>
      </c>
      <c r="H304" s="581" t="s">
        <v>2482</v>
      </c>
    </row>
    <row r="305" spans="1:8" ht="38.25" thickBot="1">
      <c r="A305" s="576">
        <v>6675</v>
      </c>
      <c r="B305" s="576" t="s">
        <v>372</v>
      </c>
      <c r="C305" s="577" t="s">
        <v>1223</v>
      </c>
      <c r="D305" s="576">
        <v>59</v>
      </c>
      <c r="E305" s="578" t="s">
        <v>1224</v>
      </c>
      <c r="F305" s="579" t="s">
        <v>78</v>
      </c>
      <c r="G305" s="580">
        <v>900000</v>
      </c>
      <c r="H305" s="581" t="s">
        <v>2482</v>
      </c>
    </row>
    <row r="306" spans="1:8" ht="19.5" thickBot="1">
      <c r="A306" s="576">
        <v>6675</v>
      </c>
      <c r="B306" s="576" t="s">
        <v>191</v>
      </c>
      <c r="C306" s="577" t="s">
        <v>1226</v>
      </c>
      <c r="D306" s="576">
        <v>60</v>
      </c>
      <c r="E306" s="578" t="s">
        <v>1227</v>
      </c>
      <c r="F306" s="579" t="s">
        <v>78</v>
      </c>
      <c r="G306" s="580">
        <v>755000</v>
      </c>
      <c r="H306" s="581" t="s">
        <v>2482</v>
      </c>
    </row>
    <row r="307" spans="1:8" ht="19.5" thickBot="1">
      <c r="A307" s="576">
        <v>6675</v>
      </c>
      <c r="B307" s="576" t="s">
        <v>372</v>
      </c>
      <c r="C307" s="577" t="s">
        <v>1230</v>
      </c>
      <c r="D307" s="576">
        <v>58</v>
      </c>
      <c r="E307" s="578" t="s">
        <v>1231</v>
      </c>
      <c r="F307" s="579" t="s">
        <v>53</v>
      </c>
      <c r="G307" s="580">
        <v>850000</v>
      </c>
      <c r="H307" s="581" t="s">
        <v>2482</v>
      </c>
    </row>
    <row r="308" spans="1:8" ht="19.5" thickBot="1">
      <c r="A308" s="576">
        <v>6675</v>
      </c>
      <c r="B308" s="576" t="s">
        <v>372</v>
      </c>
      <c r="C308" s="577" t="s">
        <v>1236</v>
      </c>
      <c r="D308" s="576">
        <v>60</v>
      </c>
      <c r="E308" s="578" t="s">
        <v>1237</v>
      </c>
      <c r="F308" s="579" t="s">
        <v>53</v>
      </c>
      <c r="G308" s="580">
        <v>650000</v>
      </c>
      <c r="H308" s="581" t="s">
        <v>2482</v>
      </c>
    </row>
    <row r="309" spans="1:8" ht="19.5" thickBot="1">
      <c r="A309" s="576">
        <v>6675</v>
      </c>
      <c r="B309" s="576" t="s">
        <v>372</v>
      </c>
      <c r="C309" s="577" t="s">
        <v>1238</v>
      </c>
      <c r="D309" s="576">
        <v>61</v>
      </c>
      <c r="E309" s="578" t="s">
        <v>1239</v>
      </c>
      <c r="F309" s="579" t="s">
        <v>78</v>
      </c>
      <c r="G309" s="580">
        <v>30000</v>
      </c>
      <c r="H309" s="581" t="s">
        <v>2482</v>
      </c>
    </row>
    <row r="310" spans="1:8" ht="19.5" thickBot="1">
      <c r="A310" s="576">
        <v>6675</v>
      </c>
      <c r="B310" s="576" t="s">
        <v>372</v>
      </c>
      <c r="C310" s="577" t="s">
        <v>1242</v>
      </c>
      <c r="D310" s="576">
        <v>61</v>
      </c>
      <c r="E310" s="578" t="s">
        <v>1243</v>
      </c>
      <c r="F310" s="579" t="s">
        <v>53</v>
      </c>
      <c r="G310" s="580">
        <v>250000</v>
      </c>
      <c r="H310" s="581" t="s">
        <v>2482</v>
      </c>
    </row>
    <row r="311" spans="1:8" ht="19.5" thickBot="1">
      <c r="A311" s="576">
        <v>6675</v>
      </c>
      <c r="B311" s="576" t="s">
        <v>372</v>
      </c>
      <c r="C311" s="577" t="s">
        <v>4252</v>
      </c>
      <c r="D311" s="576">
        <v>62</v>
      </c>
      <c r="E311" s="578" t="s">
        <v>1246</v>
      </c>
      <c r="F311" s="579" t="s">
        <v>53</v>
      </c>
      <c r="G311" s="580">
        <v>400000</v>
      </c>
      <c r="H311" s="581" t="s">
        <v>2482</v>
      </c>
    </row>
    <row r="312" spans="1:8" ht="19.5" thickBot="1">
      <c r="A312" s="576">
        <v>6680</v>
      </c>
      <c r="B312" s="576" t="s">
        <v>256</v>
      </c>
      <c r="C312" s="577" t="s">
        <v>1249</v>
      </c>
      <c r="D312" s="576">
        <v>54</v>
      </c>
      <c r="E312" s="578" t="s">
        <v>4162</v>
      </c>
      <c r="F312" s="579" t="s">
        <v>78</v>
      </c>
      <c r="G312" s="580">
        <v>47000</v>
      </c>
      <c r="H312" s="581" t="s">
        <v>2485</v>
      </c>
    </row>
    <row r="313" spans="1:8" ht="19.5" thickBot="1">
      <c r="A313" s="576">
        <v>6680</v>
      </c>
      <c r="B313" s="576" t="s">
        <v>157</v>
      </c>
      <c r="C313" s="577" t="s">
        <v>1251</v>
      </c>
      <c r="D313" s="576">
        <v>55</v>
      </c>
      <c r="E313" s="578" t="s">
        <v>1252</v>
      </c>
      <c r="F313" s="579" t="s">
        <v>53</v>
      </c>
      <c r="G313" s="580">
        <v>4500</v>
      </c>
      <c r="H313" s="581" t="s">
        <v>2485</v>
      </c>
    </row>
    <row r="314" spans="1:8" ht="19.5" thickBot="1">
      <c r="A314" s="576">
        <v>6685</v>
      </c>
      <c r="B314" s="576" t="s">
        <v>37</v>
      </c>
      <c r="C314" s="577" t="s">
        <v>1253</v>
      </c>
      <c r="D314" s="576">
        <v>58</v>
      </c>
      <c r="E314" s="578" t="s">
        <v>1254</v>
      </c>
      <c r="F314" s="579" t="s">
        <v>78</v>
      </c>
      <c r="G314" s="580">
        <v>225000</v>
      </c>
      <c r="H314" s="581" t="s">
        <v>2487</v>
      </c>
    </row>
    <row r="315" spans="1:8" ht="19.5" thickBot="1">
      <c r="A315" s="576">
        <v>6695</v>
      </c>
      <c r="B315" s="576" t="s">
        <v>157</v>
      </c>
      <c r="C315" s="577" t="s">
        <v>1255</v>
      </c>
      <c r="D315" s="576">
        <v>52</v>
      </c>
      <c r="E315" s="578" t="s">
        <v>1256</v>
      </c>
      <c r="F315" s="579" t="s">
        <v>78</v>
      </c>
      <c r="G315" s="580">
        <v>9500</v>
      </c>
      <c r="H315" s="581" t="s">
        <v>2489</v>
      </c>
    </row>
    <row r="316" spans="1:8" ht="19.5" thickBot="1">
      <c r="A316" s="602" t="s">
        <v>4139</v>
      </c>
      <c r="B316" s="603"/>
      <c r="C316" s="603"/>
      <c r="D316" s="603"/>
      <c r="E316" s="603"/>
      <c r="F316" s="603"/>
      <c r="G316" s="603"/>
      <c r="H316" s="604"/>
    </row>
    <row r="317" spans="1:8" ht="19.5" thickBot="1">
      <c r="A317" s="576">
        <v>6810</v>
      </c>
      <c r="B317" s="576" t="s">
        <v>683</v>
      </c>
      <c r="C317" s="577" t="s">
        <v>1257</v>
      </c>
      <c r="D317" s="576">
        <v>53</v>
      </c>
      <c r="E317" s="578" t="s">
        <v>1258</v>
      </c>
      <c r="F317" s="579" t="s">
        <v>1259</v>
      </c>
      <c r="G317" s="580">
        <v>6500</v>
      </c>
      <c r="H317" s="581" t="s">
        <v>2491</v>
      </c>
    </row>
    <row r="318" spans="1:8" ht="45.75" customHeight="1" thickBot="1">
      <c r="A318" s="576">
        <v>6840</v>
      </c>
      <c r="B318" s="576" t="s">
        <v>191</v>
      </c>
      <c r="C318" s="577" t="s">
        <v>852</v>
      </c>
      <c r="D318" s="576">
        <v>54</v>
      </c>
      <c r="E318" s="578" t="s">
        <v>853</v>
      </c>
      <c r="F318" s="579" t="s">
        <v>1261</v>
      </c>
      <c r="G318" s="580">
        <v>380</v>
      </c>
      <c r="H318" s="581" t="s">
        <v>2492</v>
      </c>
    </row>
    <row r="319" spans="1:8" ht="38.25" thickBot="1">
      <c r="A319" s="576">
        <v>6840</v>
      </c>
      <c r="B319" s="576" t="s">
        <v>191</v>
      </c>
      <c r="C319" s="577" t="s">
        <v>1262</v>
      </c>
      <c r="D319" s="576">
        <v>58</v>
      </c>
      <c r="E319" s="578" t="s">
        <v>856</v>
      </c>
      <c r="F319" s="579" t="s">
        <v>1263</v>
      </c>
      <c r="G319" s="580">
        <v>750</v>
      </c>
      <c r="H319" s="581" t="s">
        <v>2492</v>
      </c>
    </row>
    <row r="320" spans="1:8" ht="44.25" customHeight="1" thickBot="1">
      <c r="A320" s="576">
        <v>6840</v>
      </c>
      <c r="B320" s="576" t="s">
        <v>191</v>
      </c>
      <c r="C320" s="577" t="s">
        <v>1264</v>
      </c>
      <c r="D320" s="576">
        <v>58</v>
      </c>
      <c r="E320" s="578" t="s">
        <v>1265</v>
      </c>
      <c r="F320" s="579" t="s">
        <v>1266</v>
      </c>
      <c r="G320" s="580">
        <v>1000</v>
      </c>
      <c r="H320" s="581" t="s">
        <v>2492</v>
      </c>
    </row>
    <row r="321" spans="1:8" ht="19.5" thickBot="1">
      <c r="A321" s="602" t="s">
        <v>4140</v>
      </c>
      <c r="B321" s="603"/>
      <c r="C321" s="603"/>
      <c r="D321" s="603"/>
      <c r="E321" s="603"/>
      <c r="F321" s="603"/>
      <c r="G321" s="603"/>
      <c r="H321" s="604"/>
    </row>
    <row r="322" spans="1:8" ht="19.5" thickBot="1">
      <c r="A322" s="576">
        <v>8415</v>
      </c>
      <c r="B322" s="576" t="s">
        <v>683</v>
      </c>
      <c r="C322" s="577" t="s">
        <v>1267</v>
      </c>
      <c r="D322" s="576">
        <v>61</v>
      </c>
      <c r="E322" s="578" t="s">
        <v>741</v>
      </c>
      <c r="F322" s="579" t="s">
        <v>53</v>
      </c>
      <c r="G322" s="580">
        <v>140000</v>
      </c>
      <c r="H322" s="581" t="s">
        <v>2508</v>
      </c>
    </row>
    <row r="323" spans="1:8" ht="19.5" thickBot="1">
      <c r="A323" s="576">
        <v>8415</v>
      </c>
      <c r="B323" s="576" t="s">
        <v>683</v>
      </c>
      <c r="C323" s="577" t="s">
        <v>1268</v>
      </c>
      <c r="D323" s="576">
        <v>61</v>
      </c>
      <c r="E323" s="578" t="s">
        <v>745</v>
      </c>
      <c r="F323" s="579" t="s">
        <v>53</v>
      </c>
      <c r="G323" s="580">
        <v>120000</v>
      </c>
      <c r="H323" s="581" t="s">
        <v>2508</v>
      </c>
    </row>
    <row r="324" spans="1:8" ht="19.5" thickBot="1">
      <c r="A324" s="576">
        <v>8415</v>
      </c>
      <c r="B324" s="576" t="s">
        <v>683</v>
      </c>
      <c r="C324" s="577" t="s">
        <v>1269</v>
      </c>
      <c r="D324" s="576">
        <v>52</v>
      </c>
      <c r="E324" s="578" t="s">
        <v>1270</v>
      </c>
      <c r="F324" s="579" t="s">
        <v>53</v>
      </c>
      <c r="G324" s="580">
        <v>33000</v>
      </c>
      <c r="H324" s="581" t="s">
        <v>2508</v>
      </c>
    </row>
    <row r="325" spans="1:8" ht="19.5" thickBot="1">
      <c r="A325" s="602" t="s">
        <v>4141</v>
      </c>
      <c r="B325" s="603"/>
      <c r="C325" s="603"/>
      <c r="D325" s="603"/>
      <c r="E325" s="603"/>
      <c r="F325" s="603"/>
      <c r="G325" s="603"/>
      <c r="H325" s="604"/>
    </row>
    <row r="326" spans="1:8" ht="19.5" thickBot="1">
      <c r="A326" s="576">
        <v>9999</v>
      </c>
      <c r="B326" s="576" t="s">
        <v>191</v>
      </c>
      <c r="C326" s="577" t="s">
        <v>1274</v>
      </c>
      <c r="D326" s="576">
        <v>54</v>
      </c>
      <c r="E326" s="578" t="s">
        <v>1275</v>
      </c>
      <c r="F326" s="579" t="s">
        <v>358</v>
      </c>
      <c r="G326" s="580">
        <v>45000</v>
      </c>
      <c r="H326" s="581" t="s">
        <v>1483</v>
      </c>
    </row>
    <row r="327" spans="1:8">
      <c r="A327" s="486"/>
      <c r="B327" s="486"/>
      <c r="C327" s="487"/>
      <c r="D327" s="486"/>
      <c r="E327" s="488"/>
      <c r="F327" s="489"/>
      <c r="G327" s="490"/>
      <c r="H327" s="491"/>
    </row>
    <row r="328" spans="1:8">
      <c r="A328" s="486"/>
      <c r="B328" s="486"/>
      <c r="C328" s="487"/>
      <c r="D328" s="486"/>
      <c r="E328" s="488"/>
      <c r="F328" s="489"/>
      <c r="G328" s="490"/>
      <c r="H328" s="491"/>
    </row>
    <row r="329" spans="1:8" ht="18.75" thickBot="1">
      <c r="A329" s="486"/>
      <c r="B329" s="486"/>
      <c r="C329" s="487"/>
      <c r="D329" s="486"/>
      <c r="E329" s="488"/>
      <c r="F329" s="489"/>
      <c r="G329" s="490"/>
      <c r="H329" s="491"/>
    </row>
    <row r="330" spans="1:8" ht="36.75" thickBot="1">
      <c r="A330" s="450" t="s">
        <v>10</v>
      </c>
      <c r="B330" s="450" t="s">
        <v>2</v>
      </c>
      <c r="C330" s="450" t="s">
        <v>3</v>
      </c>
      <c r="D330" s="450" t="s">
        <v>4</v>
      </c>
      <c r="E330" s="450" t="s">
        <v>2754</v>
      </c>
      <c r="F330" s="451" t="s">
        <v>3600</v>
      </c>
      <c r="G330" s="451" t="s">
        <v>7</v>
      </c>
      <c r="H330" s="451" t="s">
        <v>8</v>
      </c>
    </row>
    <row r="331" spans="1:8" ht="18.75" thickBot="1">
      <c r="A331" s="502" t="s">
        <v>4143</v>
      </c>
      <c r="B331" s="503"/>
      <c r="C331" s="503"/>
      <c r="D331" s="503"/>
      <c r="E331" s="503"/>
      <c r="F331" s="503"/>
      <c r="G331" s="503"/>
      <c r="H331" s="504"/>
    </row>
    <row r="332" spans="1:8" ht="36.75" thickBot="1">
      <c r="A332" s="436"/>
      <c r="B332" s="436" t="s">
        <v>25</v>
      </c>
      <c r="C332" s="437" t="s">
        <v>26</v>
      </c>
      <c r="D332" s="436"/>
      <c r="E332" s="434" t="s">
        <v>993</v>
      </c>
      <c r="F332" s="438" t="s">
        <v>48</v>
      </c>
      <c r="G332" s="439">
        <v>14800</v>
      </c>
      <c r="H332" s="433" t="s">
        <v>4158</v>
      </c>
    </row>
    <row r="333" spans="1:8" ht="36.75" thickBot="1">
      <c r="A333" s="436"/>
      <c r="B333" s="436" t="s">
        <v>25</v>
      </c>
      <c r="C333" s="437" t="s">
        <v>26</v>
      </c>
      <c r="D333" s="436"/>
      <c r="E333" s="434" t="s">
        <v>782</v>
      </c>
      <c r="F333" s="438" t="s">
        <v>78</v>
      </c>
      <c r="G333" s="439">
        <v>670000</v>
      </c>
      <c r="H333" s="433" t="s">
        <v>4158</v>
      </c>
    </row>
    <row r="334" spans="1:8" ht="36.75" thickBot="1">
      <c r="A334" s="436"/>
      <c r="B334" s="436" t="s">
        <v>25</v>
      </c>
      <c r="C334" s="437" t="s">
        <v>26</v>
      </c>
      <c r="D334" s="436"/>
      <c r="E334" s="434" t="s">
        <v>1086</v>
      </c>
      <c r="F334" s="438" t="s">
        <v>78</v>
      </c>
      <c r="G334" s="439">
        <v>150000</v>
      </c>
      <c r="H334" s="433" t="s">
        <v>4158</v>
      </c>
    </row>
    <row r="335" spans="1:8" ht="36.75" thickBot="1">
      <c r="A335" s="436"/>
      <c r="B335" s="436" t="s">
        <v>25</v>
      </c>
      <c r="C335" s="437" t="s">
        <v>26</v>
      </c>
      <c r="D335" s="436"/>
      <c r="E335" s="434" t="s">
        <v>1288</v>
      </c>
      <c r="F335" s="438" t="s">
        <v>78</v>
      </c>
      <c r="G335" s="439">
        <v>246000</v>
      </c>
      <c r="H335" s="433" t="s">
        <v>4158</v>
      </c>
    </row>
    <row r="336" spans="1:8" ht="36.75" thickBot="1">
      <c r="A336" s="436"/>
      <c r="B336" s="436" t="s">
        <v>25</v>
      </c>
      <c r="C336" s="437" t="s">
        <v>26</v>
      </c>
      <c r="D336" s="436"/>
      <c r="E336" s="434" t="s">
        <v>1290</v>
      </c>
      <c r="F336" s="438" t="s">
        <v>78</v>
      </c>
      <c r="G336" s="439">
        <v>1247000</v>
      </c>
      <c r="H336" s="433" t="s">
        <v>4158</v>
      </c>
    </row>
    <row r="337" spans="1:8" ht="36.75" thickBot="1">
      <c r="A337" s="436"/>
      <c r="B337" s="436" t="s">
        <v>25</v>
      </c>
      <c r="C337" s="437" t="s">
        <v>26</v>
      </c>
      <c r="D337" s="436"/>
      <c r="E337" s="434" t="s">
        <v>1098</v>
      </c>
      <c r="F337" s="438" t="s">
        <v>78</v>
      </c>
      <c r="G337" s="439">
        <v>385000</v>
      </c>
      <c r="H337" s="433" t="s">
        <v>4158</v>
      </c>
    </row>
    <row r="338" spans="1:8" ht="36.75" thickBot="1">
      <c r="A338" s="436"/>
      <c r="B338" s="436" t="s">
        <v>25</v>
      </c>
      <c r="C338" s="437" t="s">
        <v>26</v>
      </c>
      <c r="D338" s="436"/>
      <c r="E338" s="434" t="s">
        <v>1295</v>
      </c>
      <c r="F338" s="438" t="s">
        <v>78</v>
      </c>
      <c r="G338" s="439">
        <v>1700000</v>
      </c>
      <c r="H338" s="433" t="s">
        <v>4158</v>
      </c>
    </row>
    <row r="339" spans="1:8" ht="36.75" thickBot="1">
      <c r="A339" s="436"/>
      <c r="B339" s="436" t="s">
        <v>25</v>
      </c>
      <c r="C339" s="437" t="s">
        <v>26</v>
      </c>
      <c r="D339" s="436"/>
      <c r="E339" s="434" t="s">
        <v>1100</v>
      </c>
      <c r="F339" s="438" t="s">
        <v>78</v>
      </c>
      <c r="G339" s="439">
        <v>23300</v>
      </c>
      <c r="H339" s="433" t="s">
        <v>4158</v>
      </c>
    </row>
    <row r="340" spans="1:8" ht="36.75" thickBot="1">
      <c r="A340" s="436"/>
      <c r="B340" s="436" t="s">
        <v>25</v>
      </c>
      <c r="C340" s="437" t="s">
        <v>26</v>
      </c>
      <c r="D340" s="436"/>
      <c r="E340" s="434" t="s">
        <v>1102</v>
      </c>
      <c r="F340" s="438" t="s">
        <v>78</v>
      </c>
      <c r="G340" s="439">
        <v>2364000</v>
      </c>
      <c r="H340" s="433" t="s">
        <v>4158</v>
      </c>
    </row>
    <row r="341" spans="1:8" ht="36.75" thickBot="1">
      <c r="A341" s="436"/>
      <c r="B341" s="436" t="s">
        <v>25</v>
      </c>
      <c r="C341" s="437" t="s">
        <v>26</v>
      </c>
      <c r="D341" s="436"/>
      <c r="E341" s="434" t="s">
        <v>1104</v>
      </c>
      <c r="F341" s="438" t="s">
        <v>78</v>
      </c>
      <c r="G341" s="439">
        <v>3350000</v>
      </c>
      <c r="H341" s="433" t="s">
        <v>4158</v>
      </c>
    </row>
    <row r="342" spans="1:8" ht="36.75" thickBot="1">
      <c r="A342" s="450" t="s">
        <v>10</v>
      </c>
      <c r="B342" s="450" t="s">
        <v>2</v>
      </c>
      <c r="C342" s="450" t="s">
        <v>3</v>
      </c>
      <c r="D342" s="450" t="s">
        <v>4</v>
      </c>
      <c r="E342" s="450" t="s">
        <v>2754</v>
      </c>
      <c r="F342" s="451" t="s">
        <v>3600</v>
      </c>
      <c r="G342" s="451" t="s">
        <v>7</v>
      </c>
      <c r="H342" s="451" t="s">
        <v>8</v>
      </c>
    </row>
    <row r="343" spans="1:8" ht="36.75" thickBot="1">
      <c r="A343" s="436"/>
      <c r="B343" s="436" t="s">
        <v>25</v>
      </c>
      <c r="C343" s="437" t="s">
        <v>26</v>
      </c>
      <c r="D343" s="436"/>
      <c r="E343" s="434" t="s">
        <v>1299</v>
      </c>
      <c r="F343" s="438" t="s">
        <v>78</v>
      </c>
      <c r="G343" s="439">
        <v>500000</v>
      </c>
      <c r="H343" s="433" t="s">
        <v>4158</v>
      </c>
    </row>
    <row r="344" spans="1:8" ht="36.75" thickBot="1">
      <c r="A344" s="436"/>
      <c r="B344" s="436" t="s">
        <v>25</v>
      </c>
      <c r="C344" s="437" t="s">
        <v>26</v>
      </c>
      <c r="D344" s="436"/>
      <c r="E344" s="434" t="s">
        <v>787</v>
      </c>
      <c r="F344" s="438" t="s">
        <v>78</v>
      </c>
      <c r="G344" s="439">
        <v>57500</v>
      </c>
      <c r="H344" s="433" t="s">
        <v>4158</v>
      </c>
    </row>
    <row r="345" spans="1:8" ht="36.75" thickBot="1">
      <c r="A345" s="436"/>
      <c r="B345" s="436" t="s">
        <v>25</v>
      </c>
      <c r="C345" s="437" t="s">
        <v>26</v>
      </c>
      <c r="D345" s="436"/>
      <c r="E345" s="434" t="s">
        <v>1302</v>
      </c>
      <c r="F345" s="438" t="s">
        <v>78</v>
      </c>
      <c r="G345" s="439">
        <v>8300</v>
      </c>
      <c r="H345" s="433" t="s">
        <v>4158</v>
      </c>
    </row>
    <row r="346" spans="1:8" ht="36.75" thickBot="1">
      <c r="A346" s="436"/>
      <c r="B346" s="436" t="s">
        <v>25</v>
      </c>
      <c r="C346" s="437" t="s">
        <v>26</v>
      </c>
      <c r="D346" s="436"/>
      <c r="E346" s="434" t="s">
        <v>1304</v>
      </c>
      <c r="F346" s="438" t="s">
        <v>78</v>
      </c>
      <c r="G346" s="439">
        <v>9300</v>
      </c>
      <c r="H346" s="433" t="s">
        <v>4158</v>
      </c>
    </row>
    <row r="347" spans="1:8" ht="36.75" thickBot="1">
      <c r="A347" s="436"/>
      <c r="B347" s="436" t="s">
        <v>25</v>
      </c>
      <c r="C347" s="437" t="s">
        <v>26</v>
      </c>
      <c r="D347" s="436"/>
      <c r="E347" s="434" t="s">
        <v>1306</v>
      </c>
      <c r="F347" s="438" t="s">
        <v>78</v>
      </c>
      <c r="G347" s="439">
        <v>7600</v>
      </c>
      <c r="H347" s="433" t="s">
        <v>4158</v>
      </c>
    </row>
    <row r="348" spans="1:8" ht="36.75" thickBot="1">
      <c r="A348" s="472"/>
      <c r="B348" s="472" t="s">
        <v>25</v>
      </c>
      <c r="C348" s="473" t="s">
        <v>26</v>
      </c>
      <c r="D348" s="472"/>
      <c r="E348" s="474" t="s">
        <v>1308</v>
      </c>
      <c r="F348" s="475" t="s">
        <v>78</v>
      </c>
      <c r="G348" s="476">
        <v>20000</v>
      </c>
      <c r="H348" s="477" t="s">
        <v>4158</v>
      </c>
    </row>
    <row r="349" spans="1:8" ht="36.75" thickBot="1">
      <c r="A349" s="436"/>
      <c r="B349" s="436" t="s">
        <v>25</v>
      </c>
      <c r="C349" s="437" t="s">
        <v>26</v>
      </c>
      <c r="D349" s="436"/>
      <c r="E349" s="434" t="s">
        <v>1310</v>
      </c>
      <c r="F349" s="438" t="s">
        <v>48</v>
      </c>
      <c r="G349" s="439">
        <v>5500</v>
      </c>
      <c r="H349" s="433" t="s">
        <v>4158</v>
      </c>
    </row>
    <row r="350" spans="1:8" ht="36.75" thickBot="1">
      <c r="A350" s="436"/>
      <c r="B350" s="436" t="s">
        <v>25</v>
      </c>
      <c r="C350" s="437" t="s">
        <v>26</v>
      </c>
      <c r="D350" s="436"/>
      <c r="E350" s="434" t="s">
        <v>1312</v>
      </c>
      <c r="F350" s="438" t="s">
        <v>48</v>
      </c>
      <c r="G350" s="439">
        <v>5800</v>
      </c>
      <c r="H350" s="433" t="s">
        <v>4158</v>
      </c>
    </row>
    <row r="351" spans="1:8" ht="36.75" thickBot="1">
      <c r="A351" s="436"/>
      <c r="B351" s="436" t="s">
        <v>25</v>
      </c>
      <c r="C351" s="437" t="s">
        <v>26</v>
      </c>
      <c r="D351" s="436"/>
      <c r="E351" s="434" t="s">
        <v>1313</v>
      </c>
      <c r="F351" s="438" t="s">
        <v>48</v>
      </c>
      <c r="G351" s="439">
        <v>6300</v>
      </c>
      <c r="H351" s="433" t="s">
        <v>4158</v>
      </c>
    </row>
    <row r="352" spans="1:8" ht="36.75" thickBot="1">
      <c r="A352" s="436"/>
      <c r="B352" s="436" t="s">
        <v>25</v>
      </c>
      <c r="C352" s="437" t="s">
        <v>26</v>
      </c>
      <c r="D352" s="436"/>
      <c r="E352" s="434" t="s">
        <v>1315</v>
      </c>
      <c r="F352" s="438" t="s">
        <v>48</v>
      </c>
      <c r="G352" s="439">
        <v>6500</v>
      </c>
      <c r="H352" s="433" t="s">
        <v>4158</v>
      </c>
    </row>
    <row r="353" spans="1:8" ht="36.75" thickBot="1">
      <c r="A353" s="436"/>
      <c r="B353" s="436" t="s">
        <v>25</v>
      </c>
      <c r="C353" s="437" t="s">
        <v>26</v>
      </c>
      <c r="D353" s="436"/>
      <c r="E353" s="434" t="s">
        <v>1105</v>
      </c>
      <c r="F353" s="438" t="s">
        <v>78</v>
      </c>
      <c r="G353" s="439">
        <v>23000</v>
      </c>
      <c r="H353" s="433" t="s">
        <v>4158</v>
      </c>
    </row>
    <row r="354" spans="1:8" ht="36.75" thickBot="1">
      <c r="A354" s="436"/>
      <c r="B354" s="436" t="s">
        <v>25</v>
      </c>
      <c r="C354" s="437" t="s">
        <v>26</v>
      </c>
      <c r="D354" s="436"/>
      <c r="E354" s="434" t="s">
        <v>1318</v>
      </c>
      <c r="F354" s="438" t="s">
        <v>78</v>
      </c>
      <c r="G354" s="439">
        <v>25900</v>
      </c>
      <c r="H354" s="433" t="s">
        <v>4158</v>
      </c>
    </row>
    <row r="355" spans="1:8" ht="36.75" thickBot="1">
      <c r="A355" s="436"/>
      <c r="B355" s="436" t="s">
        <v>25</v>
      </c>
      <c r="C355" s="437" t="s">
        <v>26</v>
      </c>
      <c r="D355" s="436"/>
      <c r="E355" s="434" t="s">
        <v>1106</v>
      </c>
      <c r="F355" s="438" t="s">
        <v>78</v>
      </c>
      <c r="G355" s="439">
        <v>28600</v>
      </c>
      <c r="H355" s="433" t="s">
        <v>4158</v>
      </c>
    </row>
    <row r="356" spans="1:8" ht="36.75" thickBot="1">
      <c r="A356" s="436"/>
      <c r="B356" s="436" t="s">
        <v>25</v>
      </c>
      <c r="C356" s="437" t="s">
        <v>26</v>
      </c>
      <c r="D356" s="436"/>
      <c r="E356" s="434" t="s">
        <v>1110</v>
      </c>
      <c r="F356" s="438" t="s">
        <v>78</v>
      </c>
      <c r="G356" s="439">
        <v>30600</v>
      </c>
      <c r="H356" s="433" t="s">
        <v>4158</v>
      </c>
    </row>
    <row r="357" spans="1:8" ht="36.75" thickBot="1">
      <c r="A357" s="436"/>
      <c r="B357" s="436" t="s">
        <v>25</v>
      </c>
      <c r="C357" s="437" t="s">
        <v>26</v>
      </c>
      <c r="D357" s="436"/>
      <c r="E357" s="434" t="s">
        <v>1113</v>
      </c>
      <c r="F357" s="438" t="s">
        <v>78</v>
      </c>
      <c r="G357" s="439">
        <v>32400</v>
      </c>
      <c r="H357" s="433" t="s">
        <v>4158</v>
      </c>
    </row>
    <row r="358" spans="1:8" ht="36.75" thickBot="1">
      <c r="A358" s="436"/>
      <c r="B358" s="436" t="s">
        <v>25</v>
      </c>
      <c r="C358" s="437" t="s">
        <v>26</v>
      </c>
      <c r="D358" s="436"/>
      <c r="E358" s="434" t="s">
        <v>1319</v>
      </c>
      <c r="F358" s="438" t="s">
        <v>78</v>
      </c>
      <c r="G358" s="439">
        <v>36000</v>
      </c>
      <c r="H358" s="433" t="s">
        <v>4158</v>
      </c>
    </row>
    <row r="359" spans="1:8" ht="36.75" thickBot="1">
      <c r="A359" s="436"/>
      <c r="B359" s="436" t="s">
        <v>25</v>
      </c>
      <c r="C359" s="437" t="s">
        <v>26</v>
      </c>
      <c r="D359" s="436"/>
      <c r="E359" s="434" t="s">
        <v>1114</v>
      </c>
      <c r="F359" s="438" t="s">
        <v>78</v>
      </c>
      <c r="G359" s="439">
        <v>40200</v>
      </c>
      <c r="H359" s="433" t="s">
        <v>4158</v>
      </c>
    </row>
    <row r="360" spans="1:8" ht="36.75" thickBot="1">
      <c r="A360" s="436"/>
      <c r="B360" s="436" t="s">
        <v>25</v>
      </c>
      <c r="C360" s="437" t="s">
        <v>26</v>
      </c>
      <c r="D360" s="436"/>
      <c r="E360" s="434" t="s">
        <v>4142</v>
      </c>
      <c r="F360" s="438" t="s">
        <v>78</v>
      </c>
      <c r="G360" s="439">
        <v>42300</v>
      </c>
      <c r="H360" s="433" t="s">
        <v>4158</v>
      </c>
    </row>
    <row r="361" spans="1:8" ht="36.75" thickBot="1">
      <c r="A361" s="436"/>
      <c r="B361" s="436" t="s">
        <v>25</v>
      </c>
      <c r="C361" s="437" t="s">
        <v>26</v>
      </c>
      <c r="D361" s="436"/>
      <c r="E361" s="434" t="s">
        <v>1117</v>
      </c>
      <c r="F361" s="438" t="s">
        <v>78</v>
      </c>
      <c r="G361" s="439">
        <v>47000</v>
      </c>
      <c r="H361" s="433" t="s">
        <v>4158</v>
      </c>
    </row>
    <row r="362" spans="1:8" ht="36.75" thickBot="1">
      <c r="A362" s="436"/>
      <c r="B362" s="436" t="s">
        <v>25</v>
      </c>
      <c r="C362" s="437" t="s">
        <v>26</v>
      </c>
      <c r="D362" s="436"/>
      <c r="E362" s="434" t="s">
        <v>4116</v>
      </c>
      <c r="F362" s="438" t="s">
        <v>78</v>
      </c>
      <c r="G362" s="439">
        <v>51200</v>
      </c>
      <c r="H362" s="433" t="s">
        <v>4158</v>
      </c>
    </row>
    <row r="363" spans="1:8" ht="36.75" thickBot="1">
      <c r="A363" s="436"/>
      <c r="B363" s="436" t="s">
        <v>25</v>
      </c>
      <c r="C363" s="437" t="s">
        <v>26</v>
      </c>
      <c r="D363" s="436"/>
      <c r="E363" s="434" t="s">
        <v>691</v>
      </c>
      <c r="F363" s="438" t="s">
        <v>78</v>
      </c>
      <c r="G363" s="439">
        <v>53300</v>
      </c>
      <c r="H363" s="433" t="s">
        <v>4158</v>
      </c>
    </row>
    <row r="364" spans="1:8" ht="36.75" thickBot="1">
      <c r="A364" s="436"/>
      <c r="B364" s="436" t="s">
        <v>25</v>
      </c>
      <c r="C364" s="437" t="s">
        <v>26</v>
      </c>
      <c r="D364" s="436"/>
      <c r="E364" s="434" t="s">
        <v>701</v>
      </c>
      <c r="F364" s="438" t="s">
        <v>78</v>
      </c>
      <c r="G364" s="439">
        <v>57000</v>
      </c>
      <c r="H364" s="433" t="s">
        <v>4158</v>
      </c>
    </row>
    <row r="365" spans="1:8" ht="36.75" thickBot="1">
      <c r="A365" s="436"/>
      <c r="B365" s="436" t="s">
        <v>25</v>
      </c>
      <c r="C365" s="437" t="s">
        <v>26</v>
      </c>
      <c r="D365" s="436"/>
      <c r="E365" s="434" t="s">
        <v>1321</v>
      </c>
      <c r="F365" s="438" t="s">
        <v>78</v>
      </c>
      <c r="G365" s="439">
        <v>30100</v>
      </c>
      <c r="H365" s="433" t="s">
        <v>4158</v>
      </c>
    </row>
    <row r="366" spans="1:8" ht="36.75" thickBot="1">
      <c r="A366" s="436"/>
      <c r="B366" s="436" t="s">
        <v>25</v>
      </c>
      <c r="C366" s="437" t="s">
        <v>26</v>
      </c>
      <c r="D366" s="436"/>
      <c r="E366" s="434" t="s">
        <v>1322</v>
      </c>
      <c r="F366" s="438" t="s">
        <v>78</v>
      </c>
      <c r="G366" s="439">
        <v>34800</v>
      </c>
      <c r="H366" s="433" t="s">
        <v>4158</v>
      </c>
    </row>
    <row r="367" spans="1:8" ht="36.75" thickBot="1">
      <c r="A367" s="436"/>
      <c r="B367" s="436" t="s">
        <v>25</v>
      </c>
      <c r="C367" s="437" t="s">
        <v>26</v>
      </c>
      <c r="D367" s="436"/>
      <c r="E367" s="434" t="s">
        <v>1324</v>
      </c>
      <c r="F367" s="438" t="s">
        <v>78</v>
      </c>
      <c r="G367" s="439">
        <v>41500</v>
      </c>
      <c r="H367" s="433" t="s">
        <v>4158</v>
      </c>
    </row>
    <row r="368" spans="1:8" ht="36.75" thickBot="1">
      <c r="A368" s="436"/>
      <c r="B368" s="436" t="s">
        <v>25</v>
      </c>
      <c r="C368" s="437" t="s">
        <v>26</v>
      </c>
      <c r="D368" s="436"/>
      <c r="E368" s="434" t="s">
        <v>1326</v>
      </c>
      <c r="F368" s="438" t="s">
        <v>78</v>
      </c>
      <c r="G368" s="439">
        <v>43400</v>
      </c>
      <c r="H368" s="433" t="s">
        <v>4158</v>
      </c>
    </row>
    <row r="369" spans="1:8" ht="36.75" thickBot="1">
      <c r="A369" s="436"/>
      <c r="B369" s="436" t="s">
        <v>25</v>
      </c>
      <c r="C369" s="437" t="s">
        <v>26</v>
      </c>
      <c r="D369" s="436"/>
      <c r="E369" s="434" t="s">
        <v>1328</v>
      </c>
      <c r="F369" s="438" t="s">
        <v>78</v>
      </c>
      <c r="G369" s="439">
        <v>48100</v>
      </c>
      <c r="H369" s="433" t="s">
        <v>4158</v>
      </c>
    </row>
    <row r="370" spans="1:8" ht="36.75" thickBot="1">
      <c r="A370" s="436"/>
      <c r="B370" s="436" t="s">
        <v>25</v>
      </c>
      <c r="C370" s="437" t="s">
        <v>26</v>
      </c>
      <c r="D370" s="436"/>
      <c r="E370" s="434" t="s">
        <v>1330</v>
      </c>
      <c r="F370" s="438" t="s">
        <v>78</v>
      </c>
      <c r="G370" s="439">
        <v>55400</v>
      </c>
      <c r="H370" s="433" t="s">
        <v>4158</v>
      </c>
    </row>
    <row r="371" spans="1:8" ht="36.75" thickBot="1">
      <c r="A371" s="436"/>
      <c r="B371" s="436" t="s">
        <v>25</v>
      </c>
      <c r="C371" s="437" t="s">
        <v>26</v>
      </c>
      <c r="D371" s="436"/>
      <c r="E371" s="434" t="s">
        <v>1332</v>
      </c>
      <c r="F371" s="438" t="s">
        <v>78</v>
      </c>
      <c r="G371" s="439">
        <v>62700</v>
      </c>
      <c r="H371" s="433" t="s">
        <v>4158</v>
      </c>
    </row>
    <row r="372" spans="1:8" ht="36.75" thickBot="1">
      <c r="A372" s="436"/>
      <c r="B372" s="436" t="s">
        <v>25</v>
      </c>
      <c r="C372" s="437" t="s">
        <v>26</v>
      </c>
      <c r="D372" s="436"/>
      <c r="E372" s="434" t="s">
        <v>1334</v>
      </c>
      <c r="F372" s="438" t="s">
        <v>78</v>
      </c>
      <c r="G372" s="439">
        <v>71000</v>
      </c>
      <c r="H372" s="433" t="s">
        <v>4158</v>
      </c>
    </row>
    <row r="373" spans="1:8" ht="36.75" thickBot="1">
      <c r="A373" s="436"/>
      <c r="B373" s="436" t="s">
        <v>25</v>
      </c>
      <c r="C373" s="437" t="s">
        <v>26</v>
      </c>
      <c r="D373" s="436"/>
      <c r="E373" s="434" t="s">
        <v>4147</v>
      </c>
      <c r="F373" s="438" t="s">
        <v>78</v>
      </c>
      <c r="G373" s="439">
        <v>17000</v>
      </c>
      <c r="H373" s="433" t="s">
        <v>4158</v>
      </c>
    </row>
    <row r="374" spans="1:8" ht="36.75" thickBot="1">
      <c r="A374" s="436"/>
      <c r="B374" s="436" t="s">
        <v>25</v>
      </c>
      <c r="C374" s="437" t="s">
        <v>26</v>
      </c>
      <c r="D374" s="436"/>
      <c r="E374" s="434" t="s">
        <v>4148</v>
      </c>
      <c r="F374" s="438" t="s">
        <v>78</v>
      </c>
      <c r="G374" s="439">
        <v>21000</v>
      </c>
      <c r="H374" s="433" t="s">
        <v>4158</v>
      </c>
    </row>
    <row r="375" spans="1:8" ht="36.75" thickBot="1">
      <c r="A375" s="436"/>
      <c r="B375" s="436" t="s">
        <v>25</v>
      </c>
      <c r="C375" s="437" t="s">
        <v>26</v>
      </c>
      <c r="D375" s="436"/>
      <c r="E375" s="434" t="s">
        <v>4149</v>
      </c>
      <c r="F375" s="438" t="s">
        <v>78</v>
      </c>
      <c r="G375" s="439">
        <v>20000</v>
      </c>
      <c r="H375" s="433" t="s">
        <v>4158</v>
      </c>
    </row>
    <row r="376" spans="1:8" ht="36.75" thickBot="1">
      <c r="A376" s="436"/>
      <c r="B376" s="436" t="s">
        <v>25</v>
      </c>
      <c r="C376" s="437" t="s">
        <v>26</v>
      </c>
      <c r="D376" s="436"/>
      <c r="E376" s="434" t="s">
        <v>4150</v>
      </c>
      <c r="F376" s="438" t="s">
        <v>78</v>
      </c>
      <c r="G376" s="439">
        <v>28000</v>
      </c>
      <c r="H376" s="433" t="s">
        <v>4158</v>
      </c>
    </row>
    <row r="377" spans="1:8" ht="36.75" thickBot="1">
      <c r="A377" s="436"/>
      <c r="B377" s="436" t="s">
        <v>25</v>
      </c>
      <c r="C377" s="437" t="s">
        <v>26</v>
      </c>
      <c r="D377" s="436"/>
      <c r="E377" s="434" t="s">
        <v>4151</v>
      </c>
      <c r="F377" s="438" t="s">
        <v>78</v>
      </c>
      <c r="G377" s="439">
        <v>24200</v>
      </c>
      <c r="H377" s="433" t="s">
        <v>4158</v>
      </c>
    </row>
    <row r="378" spans="1:8" ht="36.75" thickBot="1">
      <c r="A378" s="436"/>
      <c r="B378" s="436" t="s">
        <v>25</v>
      </c>
      <c r="C378" s="437" t="s">
        <v>26</v>
      </c>
      <c r="D378" s="436"/>
      <c r="E378" s="434" t="s">
        <v>4152</v>
      </c>
      <c r="F378" s="438" t="s">
        <v>78</v>
      </c>
      <c r="G378" s="439">
        <v>27400</v>
      </c>
      <c r="H378" s="433" t="s">
        <v>4158</v>
      </c>
    </row>
    <row r="379" spans="1:8" ht="36.75" thickBot="1">
      <c r="A379" s="436"/>
      <c r="B379" s="436" t="s">
        <v>25</v>
      </c>
      <c r="C379" s="437" t="s">
        <v>26</v>
      </c>
      <c r="D379" s="436"/>
      <c r="E379" s="434" t="s">
        <v>4153</v>
      </c>
      <c r="F379" s="438" t="s">
        <v>78</v>
      </c>
      <c r="G379" s="439">
        <v>29900</v>
      </c>
      <c r="H379" s="433" t="s">
        <v>4158</v>
      </c>
    </row>
    <row r="380" spans="1:8" ht="36.75" thickBot="1">
      <c r="A380" s="436"/>
      <c r="B380" s="436" t="s">
        <v>25</v>
      </c>
      <c r="C380" s="437" t="s">
        <v>26</v>
      </c>
      <c r="D380" s="436"/>
      <c r="E380" s="434" t="s">
        <v>4154</v>
      </c>
      <c r="F380" s="438" t="s">
        <v>78</v>
      </c>
      <c r="G380" s="439">
        <v>36400</v>
      </c>
      <c r="H380" s="433" t="s">
        <v>4158</v>
      </c>
    </row>
    <row r="381" spans="1:8" ht="36.75" thickBot="1">
      <c r="A381" s="436"/>
      <c r="B381" s="436" t="s">
        <v>25</v>
      </c>
      <c r="C381" s="437" t="s">
        <v>26</v>
      </c>
      <c r="D381" s="436"/>
      <c r="E381" s="434" t="s">
        <v>1342</v>
      </c>
      <c r="F381" s="438" t="s">
        <v>78</v>
      </c>
      <c r="G381" s="439">
        <v>58000</v>
      </c>
      <c r="H381" s="433" t="s">
        <v>4158</v>
      </c>
    </row>
    <row r="382" spans="1:8" ht="36.75" thickBot="1">
      <c r="A382" s="436"/>
      <c r="B382" s="436" t="s">
        <v>25</v>
      </c>
      <c r="C382" s="437" t="s">
        <v>26</v>
      </c>
      <c r="D382" s="436"/>
      <c r="E382" s="434" t="s">
        <v>1343</v>
      </c>
      <c r="F382" s="438" t="s">
        <v>78</v>
      </c>
      <c r="G382" s="439">
        <v>61000</v>
      </c>
      <c r="H382" s="433" t="s">
        <v>4158</v>
      </c>
    </row>
    <row r="383" spans="1:8" ht="36.75" thickBot="1">
      <c r="A383" s="472"/>
      <c r="B383" s="472" t="s">
        <v>25</v>
      </c>
      <c r="C383" s="473" t="s">
        <v>26</v>
      </c>
      <c r="D383" s="472"/>
      <c r="E383" s="474" t="s">
        <v>1344</v>
      </c>
      <c r="F383" s="475" t="s">
        <v>78</v>
      </c>
      <c r="G383" s="476">
        <v>12000</v>
      </c>
      <c r="H383" s="477" t="s">
        <v>4158</v>
      </c>
    </row>
    <row r="384" spans="1:8" ht="36.75" thickBot="1">
      <c r="A384" s="436"/>
      <c r="B384" s="436" t="s">
        <v>25</v>
      </c>
      <c r="C384" s="437" t="s">
        <v>26</v>
      </c>
      <c r="D384" s="436"/>
      <c r="E384" s="434" t="s">
        <v>1345</v>
      </c>
      <c r="F384" s="438" t="s">
        <v>78</v>
      </c>
      <c r="G384" s="439">
        <v>54300</v>
      </c>
      <c r="H384" s="433" t="s">
        <v>4158</v>
      </c>
    </row>
    <row r="385" spans="1:8" ht="36.75" thickBot="1">
      <c r="A385" s="436"/>
      <c r="B385" s="436" t="s">
        <v>25</v>
      </c>
      <c r="C385" s="437" t="s">
        <v>26</v>
      </c>
      <c r="D385" s="436"/>
      <c r="E385" s="434" t="s">
        <v>1346</v>
      </c>
      <c r="F385" s="438" t="s">
        <v>78</v>
      </c>
      <c r="G385" s="439">
        <v>52000</v>
      </c>
      <c r="H385" s="433" t="s">
        <v>4158</v>
      </c>
    </row>
    <row r="386" spans="1:8" ht="36.75" thickBot="1">
      <c r="A386" s="436"/>
      <c r="B386" s="436" t="s">
        <v>25</v>
      </c>
      <c r="C386" s="437" t="s">
        <v>26</v>
      </c>
      <c r="D386" s="436"/>
      <c r="E386" s="434" t="s">
        <v>1347</v>
      </c>
      <c r="F386" s="438" t="s">
        <v>78</v>
      </c>
      <c r="G386" s="439">
        <v>18000</v>
      </c>
      <c r="H386" s="433" t="s">
        <v>4158</v>
      </c>
    </row>
    <row r="387" spans="1:8" ht="36.75" thickBot="1">
      <c r="A387" s="436"/>
      <c r="B387" s="436" t="s">
        <v>25</v>
      </c>
      <c r="C387" s="437" t="s">
        <v>26</v>
      </c>
      <c r="D387" s="436"/>
      <c r="E387" s="434" t="s">
        <v>1348</v>
      </c>
      <c r="F387" s="438" t="s">
        <v>78</v>
      </c>
      <c r="G387" s="439">
        <v>19000</v>
      </c>
      <c r="H387" s="433" t="s">
        <v>4158</v>
      </c>
    </row>
    <row r="388" spans="1:8" ht="36.75" thickBot="1">
      <c r="A388" s="436"/>
      <c r="B388" s="436" t="s">
        <v>25</v>
      </c>
      <c r="C388" s="437" t="s">
        <v>26</v>
      </c>
      <c r="D388" s="436"/>
      <c r="E388" s="434" t="s">
        <v>1351</v>
      </c>
      <c r="F388" s="438" t="s">
        <v>78</v>
      </c>
      <c r="G388" s="439">
        <v>17800</v>
      </c>
      <c r="H388" s="433" t="s">
        <v>4158</v>
      </c>
    </row>
    <row r="389" spans="1:8" ht="36.75" thickBot="1">
      <c r="A389" s="450" t="s">
        <v>10</v>
      </c>
      <c r="B389" s="450" t="s">
        <v>2</v>
      </c>
      <c r="C389" s="450" t="s">
        <v>3</v>
      </c>
      <c r="D389" s="450" t="s">
        <v>4</v>
      </c>
      <c r="E389" s="450" t="s">
        <v>2754</v>
      </c>
      <c r="F389" s="451" t="s">
        <v>3600</v>
      </c>
      <c r="G389" s="451" t="s">
        <v>7</v>
      </c>
      <c r="H389" s="451" t="s">
        <v>8</v>
      </c>
    </row>
    <row r="390" spans="1:8" ht="36.75" thickBot="1">
      <c r="A390" s="436"/>
      <c r="B390" s="436" t="s">
        <v>25</v>
      </c>
      <c r="C390" s="437" t="s">
        <v>26</v>
      </c>
      <c r="D390" s="436"/>
      <c r="E390" s="434" t="s">
        <v>1352</v>
      </c>
      <c r="F390" s="438" t="s">
        <v>78</v>
      </c>
      <c r="G390" s="439">
        <v>85000</v>
      </c>
      <c r="H390" s="433" t="s">
        <v>4158</v>
      </c>
    </row>
    <row r="391" spans="1:8" ht="36.75" thickBot="1">
      <c r="A391" s="436"/>
      <c r="B391" s="436" t="s">
        <v>25</v>
      </c>
      <c r="C391" s="437" t="s">
        <v>26</v>
      </c>
      <c r="D391" s="436"/>
      <c r="E391" s="434" t="s">
        <v>1353</v>
      </c>
      <c r="F391" s="438" t="s">
        <v>78</v>
      </c>
      <c r="G391" s="439">
        <v>45000</v>
      </c>
      <c r="H391" s="433" t="s">
        <v>4158</v>
      </c>
    </row>
    <row r="392" spans="1:8" ht="36.75" thickBot="1">
      <c r="A392" s="436"/>
      <c r="B392" s="436" t="s">
        <v>25</v>
      </c>
      <c r="C392" s="437" t="s">
        <v>26</v>
      </c>
      <c r="D392" s="436"/>
      <c r="E392" s="434" t="s">
        <v>1354</v>
      </c>
      <c r="F392" s="438" t="s">
        <v>78</v>
      </c>
      <c r="G392" s="439">
        <v>95000</v>
      </c>
      <c r="H392" s="433" t="s">
        <v>4158</v>
      </c>
    </row>
    <row r="393" spans="1:8" ht="36.75" thickBot="1">
      <c r="A393" s="436"/>
      <c r="B393" s="436" t="s">
        <v>25</v>
      </c>
      <c r="C393" s="437" t="s">
        <v>26</v>
      </c>
      <c r="D393" s="436"/>
      <c r="E393" s="434" t="s">
        <v>1355</v>
      </c>
      <c r="F393" s="438" t="s">
        <v>78</v>
      </c>
      <c r="G393" s="439">
        <v>13400</v>
      </c>
      <c r="H393" s="433" t="s">
        <v>4158</v>
      </c>
    </row>
    <row r="394" spans="1:8" ht="36.75" thickBot="1">
      <c r="A394" s="436"/>
      <c r="B394" s="436" t="s">
        <v>25</v>
      </c>
      <c r="C394" s="437" t="s">
        <v>26</v>
      </c>
      <c r="D394" s="436"/>
      <c r="E394" s="434" t="s">
        <v>1356</v>
      </c>
      <c r="F394" s="438" t="s">
        <v>78</v>
      </c>
      <c r="G394" s="439">
        <v>22500</v>
      </c>
      <c r="H394" s="433" t="s">
        <v>4158</v>
      </c>
    </row>
    <row r="395" spans="1:8" ht="36.75" thickBot="1">
      <c r="A395" s="436"/>
      <c r="B395" s="436" t="s">
        <v>25</v>
      </c>
      <c r="C395" s="437" t="s">
        <v>26</v>
      </c>
      <c r="D395" s="436"/>
      <c r="E395" s="434" t="s">
        <v>4166</v>
      </c>
      <c r="F395" s="438" t="s">
        <v>78</v>
      </c>
      <c r="G395" s="439">
        <v>9500</v>
      </c>
      <c r="H395" s="433" t="s">
        <v>4158</v>
      </c>
    </row>
    <row r="396" spans="1:8" ht="36.75" thickBot="1">
      <c r="A396" s="436"/>
      <c r="B396" s="436" t="s">
        <v>25</v>
      </c>
      <c r="C396" s="437" t="s">
        <v>26</v>
      </c>
      <c r="D396" s="436"/>
      <c r="E396" s="434" t="s">
        <v>4165</v>
      </c>
      <c r="F396" s="438" t="s">
        <v>78</v>
      </c>
      <c r="G396" s="439">
        <v>16000</v>
      </c>
      <c r="H396" s="433" t="s">
        <v>4158</v>
      </c>
    </row>
    <row r="397" spans="1:8" ht="36.75" thickBot="1">
      <c r="A397" s="436"/>
      <c r="B397" s="436" t="s">
        <v>25</v>
      </c>
      <c r="C397" s="437" t="s">
        <v>26</v>
      </c>
      <c r="D397" s="436"/>
      <c r="E397" s="434" t="s">
        <v>4164</v>
      </c>
      <c r="F397" s="438" t="s">
        <v>78</v>
      </c>
      <c r="G397" s="439">
        <v>20000</v>
      </c>
      <c r="H397" s="433" t="s">
        <v>4158</v>
      </c>
    </row>
    <row r="398" spans="1:8" ht="36.75" thickBot="1">
      <c r="A398" s="436"/>
      <c r="B398" s="436" t="s">
        <v>25</v>
      </c>
      <c r="C398" s="437" t="s">
        <v>26</v>
      </c>
      <c r="D398" s="436"/>
      <c r="E398" s="434" t="s">
        <v>4163</v>
      </c>
      <c r="F398" s="438" t="s">
        <v>78</v>
      </c>
      <c r="G398" s="439">
        <v>11000</v>
      </c>
      <c r="H398" s="433" t="s">
        <v>4158</v>
      </c>
    </row>
    <row r="399" spans="1:8" ht="36.75" thickBot="1">
      <c r="A399" s="436"/>
      <c r="B399" s="436" t="s">
        <v>25</v>
      </c>
      <c r="C399" s="437" t="s">
        <v>26</v>
      </c>
      <c r="D399" s="436"/>
      <c r="E399" s="434" t="s">
        <v>1362</v>
      </c>
      <c r="F399" s="438" t="s">
        <v>78</v>
      </c>
      <c r="G399" s="439">
        <v>11000</v>
      </c>
      <c r="H399" s="433" t="s">
        <v>4158</v>
      </c>
    </row>
    <row r="400" spans="1:8" ht="36.75" thickBot="1">
      <c r="A400" s="436"/>
      <c r="B400" s="436" t="s">
        <v>25</v>
      </c>
      <c r="C400" s="437" t="s">
        <v>26</v>
      </c>
      <c r="D400" s="436"/>
      <c r="E400" s="434" t="s">
        <v>1363</v>
      </c>
      <c r="F400" s="438" t="s">
        <v>78</v>
      </c>
      <c r="G400" s="439">
        <v>15000</v>
      </c>
      <c r="H400" s="433" t="s">
        <v>4158</v>
      </c>
    </row>
    <row r="401" spans="1:8" ht="36.75" thickBot="1">
      <c r="A401" s="436"/>
      <c r="B401" s="436" t="s">
        <v>25</v>
      </c>
      <c r="C401" s="437" t="s">
        <v>26</v>
      </c>
      <c r="D401" s="436"/>
      <c r="E401" s="434" t="s">
        <v>1364</v>
      </c>
      <c r="F401" s="438" t="s">
        <v>78</v>
      </c>
      <c r="G401" s="439">
        <v>27700</v>
      </c>
      <c r="H401" s="433" t="s">
        <v>4158</v>
      </c>
    </row>
    <row r="402" spans="1:8" ht="36.75" thickBot="1">
      <c r="A402" s="472"/>
      <c r="B402" s="472" t="s">
        <v>25</v>
      </c>
      <c r="C402" s="473" t="s">
        <v>26</v>
      </c>
      <c r="D402" s="472"/>
      <c r="E402" s="474" t="s">
        <v>1365</v>
      </c>
      <c r="F402" s="475" t="s">
        <v>78</v>
      </c>
      <c r="G402" s="476">
        <v>25000</v>
      </c>
      <c r="H402" s="477" t="s">
        <v>4158</v>
      </c>
    </row>
    <row r="403" spans="1:8" ht="36.75" thickBot="1">
      <c r="A403" s="472"/>
      <c r="B403" s="472" t="s">
        <v>25</v>
      </c>
      <c r="C403" s="473" t="s">
        <v>26</v>
      </c>
      <c r="D403" s="472"/>
      <c r="E403" s="474" t="s">
        <v>1366</v>
      </c>
      <c r="F403" s="475" t="s">
        <v>78</v>
      </c>
      <c r="G403" s="476">
        <v>30000</v>
      </c>
      <c r="H403" s="477" t="s">
        <v>4158</v>
      </c>
    </row>
    <row r="404" spans="1:8" ht="36.75" thickBot="1">
      <c r="A404" s="472"/>
      <c r="B404" s="472" t="s">
        <v>25</v>
      </c>
      <c r="C404" s="473" t="s">
        <v>26</v>
      </c>
      <c r="D404" s="472"/>
      <c r="E404" s="474" t="s">
        <v>1367</v>
      </c>
      <c r="F404" s="475" t="s">
        <v>78</v>
      </c>
      <c r="G404" s="476">
        <v>40000</v>
      </c>
      <c r="H404" s="477" t="s">
        <v>4158</v>
      </c>
    </row>
    <row r="405" spans="1:8" ht="36.75" thickBot="1">
      <c r="A405" s="472"/>
      <c r="B405" s="472" t="s">
        <v>25</v>
      </c>
      <c r="C405" s="473" t="s">
        <v>26</v>
      </c>
      <c r="D405" s="472"/>
      <c r="E405" s="474" t="s">
        <v>1368</v>
      </c>
      <c r="F405" s="475" t="s">
        <v>78</v>
      </c>
      <c r="G405" s="476">
        <v>21400</v>
      </c>
      <c r="H405" s="477" t="s">
        <v>4158</v>
      </c>
    </row>
    <row r="406" spans="1:8" ht="36.75" thickBot="1">
      <c r="A406" s="436"/>
      <c r="B406" s="436" t="s">
        <v>25</v>
      </c>
      <c r="C406" s="437" t="s">
        <v>26</v>
      </c>
      <c r="D406" s="436"/>
      <c r="E406" s="434" t="s">
        <v>1369</v>
      </c>
      <c r="F406" s="438" t="s">
        <v>28</v>
      </c>
      <c r="G406" s="439">
        <v>7500000</v>
      </c>
      <c r="H406" s="433" t="s">
        <v>4158</v>
      </c>
    </row>
    <row r="407" spans="1:8" ht="36.75" thickBot="1">
      <c r="A407" s="436"/>
      <c r="B407" s="436" t="s">
        <v>25</v>
      </c>
      <c r="C407" s="437" t="s">
        <v>26</v>
      </c>
      <c r="D407" s="436"/>
      <c r="E407" s="434" t="s">
        <v>1370</v>
      </c>
      <c r="F407" s="438" t="s">
        <v>28</v>
      </c>
      <c r="G407" s="439">
        <v>4000000</v>
      </c>
      <c r="H407" s="433" t="s">
        <v>4158</v>
      </c>
    </row>
    <row r="408" spans="1:8" ht="36.75" thickBot="1">
      <c r="A408" s="436"/>
      <c r="B408" s="436" t="s">
        <v>25</v>
      </c>
      <c r="C408" s="437" t="s">
        <v>26</v>
      </c>
      <c r="D408" s="436"/>
      <c r="E408" s="434" t="s">
        <v>1373</v>
      </c>
      <c r="F408" s="438" t="s">
        <v>28</v>
      </c>
      <c r="G408" s="439">
        <v>4500000</v>
      </c>
      <c r="H408" s="433" t="s">
        <v>4158</v>
      </c>
    </row>
    <row r="409" spans="1:8" ht="36.75" thickBot="1">
      <c r="A409" s="436"/>
      <c r="B409" s="436" t="s">
        <v>25</v>
      </c>
      <c r="C409" s="437" t="s">
        <v>26</v>
      </c>
      <c r="D409" s="436"/>
      <c r="E409" s="434" t="s">
        <v>1374</v>
      </c>
      <c r="F409" s="438" t="s">
        <v>28</v>
      </c>
      <c r="G409" s="439">
        <v>6800000</v>
      </c>
      <c r="H409" s="433" t="s">
        <v>4158</v>
      </c>
    </row>
    <row r="410" spans="1:8" ht="36.75" thickBot="1">
      <c r="A410" s="436"/>
      <c r="B410" s="436" t="s">
        <v>25</v>
      </c>
      <c r="C410" s="437" t="s">
        <v>26</v>
      </c>
      <c r="D410" s="436"/>
      <c r="E410" s="434" t="s">
        <v>1375</v>
      </c>
      <c r="F410" s="438" t="s">
        <v>28</v>
      </c>
      <c r="G410" s="439">
        <v>4000000</v>
      </c>
      <c r="H410" s="433" t="s">
        <v>4158</v>
      </c>
    </row>
    <row r="411" spans="1:8" ht="36.75" thickBot="1">
      <c r="A411" s="436"/>
      <c r="B411" s="436" t="s">
        <v>25</v>
      </c>
      <c r="C411" s="437" t="s">
        <v>26</v>
      </c>
      <c r="D411" s="436"/>
      <c r="E411" s="434" t="s">
        <v>4157</v>
      </c>
      <c r="F411" s="438" t="s">
        <v>28</v>
      </c>
      <c r="G411" s="439">
        <v>4500000</v>
      </c>
      <c r="H411" s="433" t="s">
        <v>4158</v>
      </c>
    </row>
    <row r="412" spans="1:8" ht="36.75" thickBot="1">
      <c r="A412" s="436"/>
      <c r="B412" s="436" t="s">
        <v>25</v>
      </c>
      <c r="C412" s="437" t="s">
        <v>26</v>
      </c>
      <c r="D412" s="436"/>
      <c r="E412" s="434" t="s">
        <v>1379</v>
      </c>
      <c r="F412" s="438" t="s">
        <v>28</v>
      </c>
      <c r="G412" s="439">
        <v>2800000</v>
      </c>
      <c r="H412" s="433" t="s">
        <v>4158</v>
      </c>
    </row>
    <row r="413" spans="1:8" ht="36.75" thickBot="1">
      <c r="A413" s="436"/>
      <c r="B413" s="436" t="s">
        <v>25</v>
      </c>
      <c r="C413" s="437" t="s">
        <v>26</v>
      </c>
      <c r="D413" s="436"/>
      <c r="E413" s="434" t="s">
        <v>1382</v>
      </c>
      <c r="F413" s="438" t="s">
        <v>28</v>
      </c>
      <c r="G413" s="439">
        <v>3300000</v>
      </c>
      <c r="H413" s="433" t="s">
        <v>4158</v>
      </c>
    </row>
    <row r="414" spans="1:8" ht="36.75" thickBot="1">
      <c r="A414" s="436"/>
      <c r="B414" s="436" t="s">
        <v>25</v>
      </c>
      <c r="C414" s="437" t="s">
        <v>26</v>
      </c>
      <c r="D414" s="436"/>
      <c r="E414" s="434" t="s">
        <v>1383</v>
      </c>
      <c r="F414" s="438" t="s">
        <v>28</v>
      </c>
      <c r="G414" s="439">
        <v>2900000</v>
      </c>
      <c r="H414" s="433" t="s">
        <v>4158</v>
      </c>
    </row>
    <row r="415" spans="1:8" ht="54.75" thickBot="1">
      <c r="A415" s="436"/>
      <c r="B415" s="436" t="s">
        <v>25</v>
      </c>
      <c r="C415" s="437" t="s">
        <v>26</v>
      </c>
      <c r="D415" s="436"/>
      <c r="E415" s="434" t="s">
        <v>4144</v>
      </c>
      <c r="F415" s="438" t="s">
        <v>28</v>
      </c>
      <c r="G415" s="439">
        <v>950000</v>
      </c>
      <c r="H415" s="433" t="s">
        <v>4158</v>
      </c>
    </row>
    <row r="416" spans="1:8" ht="54.75" thickBot="1">
      <c r="A416" s="436"/>
      <c r="B416" s="436" t="s">
        <v>25</v>
      </c>
      <c r="C416" s="437" t="s">
        <v>26</v>
      </c>
      <c r="D416" s="436"/>
      <c r="E416" s="434" t="s">
        <v>1385</v>
      </c>
      <c r="F416" s="438" t="s">
        <v>28</v>
      </c>
      <c r="G416" s="439">
        <v>2119000</v>
      </c>
      <c r="H416" s="433" t="s">
        <v>4158</v>
      </c>
    </row>
    <row r="417" spans="1:8" ht="36.75" thickBot="1">
      <c r="A417" s="450" t="s">
        <v>10</v>
      </c>
      <c r="B417" s="450" t="s">
        <v>2</v>
      </c>
      <c r="C417" s="450" t="s">
        <v>3</v>
      </c>
      <c r="D417" s="450" t="s">
        <v>4</v>
      </c>
      <c r="E417" s="450" t="s">
        <v>2754</v>
      </c>
      <c r="F417" s="451" t="s">
        <v>3600</v>
      </c>
      <c r="G417" s="451" t="s">
        <v>7</v>
      </c>
      <c r="H417" s="451" t="s">
        <v>8</v>
      </c>
    </row>
    <row r="418" spans="1:8" ht="54.75" thickBot="1">
      <c r="A418" s="436"/>
      <c r="B418" s="436" t="s">
        <v>25</v>
      </c>
      <c r="C418" s="437" t="s">
        <v>26</v>
      </c>
      <c r="D418" s="436"/>
      <c r="E418" s="434" t="s">
        <v>1386</v>
      </c>
      <c r="F418" s="438" t="s">
        <v>28</v>
      </c>
      <c r="G418" s="439">
        <v>2400000</v>
      </c>
      <c r="H418" s="433" t="s">
        <v>4158</v>
      </c>
    </row>
    <row r="419" spans="1:8" ht="36.75" thickBot="1">
      <c r="A419" s="436"/>
      <c r="B419" s="436" t="s">
        <v>25</v>
      </c>
      <c r="C419" s="437" t="s">
        <v>26</v>
      </c>
      <c r="D419" s="436"/>
      <c r="E419" s="434" t="s">
        <v>1387</v>
      </c>
      <c r="F419" s="438" t="s">
        <v>28</v>
      </c>
      <c r="G419" s="439">
        <v>398000</v>
      </c>
      <c r="H419" s="433" t="s">
        <v>4158</v>
      </c>
    </row>
    <row r="420" spans="1:8" ht="36.75" thickBot="1">
      <c r="A420" s="436"/>
      <c r="B420" s="436" t="s">
        <v>25</v>
      </c>
      <c r="C420" s="437" t="s">
        <v>26</v>
      </c>
      <c r="D420" s="436"/>
      <c r="E420" s="434" t="s">
        <v>4145</v>
      </c>
      <c r="F420" s="438" t="s">
        <v>28</v>
      </c>
      <c r="G420" s="439">
        <v>590000</v>
      </c>
      <c r="H420" s="433" t="s">
        <v>4158</v>
      </c>
    </row>
    <row r="421" spans="1:8" ht="36.75" thickBot="1">
      <c r="A421" s="436"/>
      <c r="B421" s="436" t="s">
        <v>25</v>
      </c>
      <c r="C421" s="437" t="s">
        <v>26</v>
      </c>
      <c r="D421" s="436"/>
      <c r="E421" s="434" t="s">
        <v>4146</v>
      </c>
      <c r="F421" s="438" t="s">
        <v>28</v>
      </c>
      <c r="G421" s="439">
        <v>1100000</v>
      </c>
      <c r="H421" s="433" t="s">
        <v>4158</v>
      </c>
    </row>
    <row r="422" spans="1:8" ht="36.75" thickBot="1">
      <c r="A422" s="436"/>
      <c r="B422" s="436" t="s">
        <v>25</v>
      </c>
      <c r="C422" s="437" t="s">
        <v>26</v>
      </c>
      <c r="D422" s="436"/>
      <c r="E422" s="434" t="s">
        <v>1390</v>
      </c>
      <c r="F422" s="438" t="s">
        <v>53</v>
      </c>
      <c r="G422" s="439">
        <v>8500</v>
      </c>
      <c r="H422" s="433" t="s">
        <v>4158</v>
      </c>
    </row>
    <row r="423" spans="1:8" ht="36.75" thickBot="1">
      <c r="A423" s="436"/>
      <c r="B423" s="436" t="s">
        <v>25</v>
      </c>
      <c r="C423" s="437" t="s">
        <v>26</v>
      </c>
      <c r="D423" s="436"/>
      <c r="E423" s="434" t="s">
        <v>1391</v>
      </c>
      <c r="F423" s="438" t="s">
        <v>53</v>
      </c>
      <c r="G423" s="439">
        <v>12000</v>
      </c>
      <c r="H423" s="433" t="s">
        <v>4158</v>
      </c>
    </row>
    <row r="424" spans="1:8" ht="36.75" thickBot="1">
      <c r="A424" s="436"/>
      <c r="B424" s="436" t="s">
        <v>25</v>
      </c>
      <c r="C424" s="437" t="s">
        <v>26</v>
      </c>
      <c r="D424" s="436"/>
      <c r="E424" s="434" t="s">
        <v>1392</v>
      </c>
      <c r="F424" s="438" t="s">
        <v>53</v>
      </c>
      <c r="G424" s="439">
        <v>17000</v>
      </c>
      <c r="H424" s="433" t="s">
        <v>4158</v>
      </c>
    </row>
    <row r="425" spans="1:8" ht="36.75" thickBot="1">
      <c r="A425" s="436"/>
      <c r="B425" s="436" t="s">
        <v>25</v>
      </c>
      <c r="C425" s="437" t="s">
        <v>26</v>
      </c>
      <c r="D425" s="436"/>
      <c r="E425" s="434" t="s">
        <v>1393</v>
      </c>
      <c r="F425" s="438" t="s">
        <v>78</v>
      </c>
      <c r="G425" s="439">
        <v>5600</v>
      </c>
      <c r="H425" s="433" t="s">
        <v>4158</v>
      </c>
    </row>
    <row r="426" spans="1:8" ht="36.75" thickBot="1">
      <c r="A426" s="436"/>
      <c r="B426" s="436" t="s">
        <v>25</v>
      </c>
      <c r="C426" s="437" t="s">
        <v>26</v>
      </c>
      <c r="D426" s="436"/>
      <c r="E426" s="434" t="s">
        <v>1394</v>
      </c>
      <c r="F426" s="438" t="s">
        <v>78</v>
      </c>
      <c r="G426" s="439">
        <v>6900</v>
      </c>
      <c r="H426" s="433" t="s">
        <v>4158</v>
      </c>
    </row>
    <row r="427" spans="1:8" ht="36.75" thickBot="1">
      <c r="A427" s="436"/>
      <c r="B427" s="441" t="s">
        <v>1396</v>
      </c>
      <c r="C427" s="437" t="s">
        <v>26</v>
      </c>
      <c r="D427" s="436"/>
      <c r="E427" s="434" t="s">
        <v>1397</v>
      </c>
      <c r="F427" s="438" t="s">
        <v>78</v>
      </c>
      <c r="G427" s="439">
        <v>47000</v>
      </c>
      <c r="H427" s="433" t="s">
        <v>4158</v>
      </c>
    </row>
    <row r="428" spans="1:8" ht="36.75" thickBot="1">
      <c r="A428" s="436"/>
      <c r="B428" s="441" t="s">
        <v>1396</v>
      </c>
      <c r="C428" s="437" t="s">
        <v>26</v>
      </c>
      <c r="D428" s="436"/>
      <c r="E428" s="434" t="s">
        <v>1399</v>
      </c>
      <c r="F428" s="438" t="s">
        <v>78</v>
      </c>
      <c r="G428" s="439">
        <v>55000</v>
      </c>
      <c r="H428" s="433" t="s">
        <v>4158</v>
      </c>
    </row>
    <row r="429" spans="1:8" ht="36.75" thickBot="1">
      <c r="A429" s="442"/>
      <c r="B429" s="441" t="s">
        <v>1396</v>
      </c>
      <c r="C429" s="437" t="s">
        <v>26</v>
      </c>
      <c r="D429" s="442"/>
      <c r="E429" s="443" t="s">
        <v>147</v>
      </c>
      <c r="F429" s="444" t="s">
        <v>78</v>
      </c>
      <c r="G429" s="445">
        <v>11000</v>
      </c>
      <c r="H429" s="433" t="s">
        <v>4158</v>
      </c>
    </row>
    <row r="430" spans="1:8" ht="36.75" thickBot="1">
      <c r="A430" s="442"/>
      <c r="B430" s="441" t="s">
        <v>1396</v>
      </c>
      <c r="C430" s="437" t="s">
        <v>26</v>
      </c>
      <c r="D430" s="442"/>
      <c r="E430" s="443" t="s">
        <v>149</v>
      </c>
      <c r="F430" s="444" t="s">
        <v>78</v>
      </c>
      <c r="G430" s="445">
        <v>17500</v>
      </c>
      <c r="H430" s="433" t="s">
        <v>4158</v>
      </c>
    </row>
    <row r="431" spans="1:8" ht="36.75" thickBot="1">
      <c r="A431" s="442"/>
      <c r="B431" s="436" t="s">
        <v>25</v>
      </c>
      <c r="C431" s="437" t="s">
        <v>26</v>
      </c>
      <c r="D431" s="442"/>
      <c r="E431" s="443" t="s">
        <v>4197</v>
      </c>
      <c r="F431" s="446" t="s">
        <v>78</v>
      </c>
      <c r="G431" s="447">
        <v>9500</v>
      </c>
      <c r="H431" s="433" t="s">
        <v>4158</v>
      </c>
    </row>
    <row r="432" spans="1:8" ht="36.75" thickBot="1">
      <c r="A432" s="478"/>
      <c r="B432" s="472" t="s">
        <v>25</v>
      </c>
      <c r="C432" s="473" t="s">
        <v>26</v>
      </c>
      <c r="D432" s="478"/>
      <c r="E432" s="479" t="s">
        <v>3694</v>
      </c>
      <c r="F432" s="480" t="s">
        <v>78</v>
      </c>
      <c r="G432" s="481">
        <v>10900</v>
      </c>
      <c r="H432" s="477" t="s">
        <v>4158</v>
      </c>
    </row>
    <row r="433" spans="1:8" ht="36.75" thickBot="1">
      <c r="A433" s="442"/>
      <c r="B433" s="436" t="s">
        <v>25</v>
      </c>
      <c r="C433" s="437" t="s">
        <v>26</v>
      </c>
      <c r="D433" s="442"/>
      <c r="E433" s="443" t="s">
        <v>3695</v>
      </c>
      <c r="F433" s="446" t="s">
        <v>78</v>
      </c>
      <c r="G433" s="447">
        <v>13000</v>
      </c>
      <c r="H433" s="433" t="s">
        <v>4158</v>
      </c>
    </row>
    <row r="434" spans="1:8" ht="36.75" thickBot="1">
      <c r="A434" s="442"/>
      <c r="B434" s="436" t="s">
        <v>25</v>
      </c>
      <c r="C434" s="437" t="s">
        <v>26</v>
      </c>
      <c r="D434" s="442"/>
      <c r="E434" s="443" t="s">
        <v>3696</v>
      </c>
      <c r="F434" s="446" t="s">
        <v>78</v>
      </c>
      <c r="G434" s="447">
        <v>12000</v>
      </c>
      <c r="H434" s="433" t="s">
        <v>4158</v>
      </c>
    </row>
    <row r="435" spans="1:8" ht="36.75" thickBot="1">
      <c r="A435" s="442"/>
      <c r="B435" s="436" t="s">
        <v>25</v>
      </c>
      <c r="C435" s="437" t="s">
        <v>26</v>
      </c>
      <c r="D435" s="442"/>
      <c r="E435" s="443" t="s">
        <v>3697</v>
      </c>
      <c r="F435" s="446" t="s">
        <v>78</v>
      </c>
      <c r="G435" s="447">
        <v>182000</v>
      </c>
      <c r="H435" s="433" t="s">
        <v>4158</v>
      </c>
    </row>
    <row r="436" spans="1:8" ht="36.75" thickBot="1">
      <c r="A436" s="442"/>
      <c r="B436" s="436" t="s">
        <v>25</v>
      </c>
      <c r="C436" s="437" t="s">
        <v>26</v>
      </c>
      <c r="D436" s="442"/>
      <c r="E436" s="443" t="s">
        <v>4198</v>
      </c>
      <c r="F436" s="446" t="s">
        <v>433</v>
      </c>
      <c r="G436" s="447">
        <v>5200</v>
      </c>
      <c r="H436" s="433" t="s">
        <v>4158</v>
      </c>
    </row>
    <row r="437" spans="1:8" ht="36.75" thickBot="1">
      <c r="A437" s="442"/>
      <c r="B437" s="436" t="s">
        <v>25</v>
      </c>
      <c r="C437" s="437" t="s">
        <v>26</v>
      </c>
      <c r="D437" s="442"/>
      <c r="E437" s="443" t="s">
        <v>4199</v>
      </c>
      <c r="F437" s="446" t="s">
        <v>433</v>
      </c>
      <c r="G437" s="447">
        <v>6400</v>
      </c>
      <c r="H437" s="433" t="s">
        <v>4158</v>
      </c>
    </row>
    <row r="438" spans="1:8" ht="36.75" thickBot="1">
      <c r="A438" s="442"/>
      <c r="B438" s="436" t="s">
        <v>25</v>
      </c>
      <c r="C438" s="437" t="s">
        <v>26</v>
      </c>
      <c r="D438" s="442"/>
      <c r="E438" s="443" t="s">
        <v>4200</v>
      </c>
      <c r="F438" s="446" t="s">
        <v>433</v>
      </c>
      <c r="G438" s="447">
        <v>8300</v>
      </c>
      <c r="H438" s="433" t="s">
        <v>4158</v>
      </c>
    </row>
    <row r="439" spans="1:8" ht="36.75" thickBot="1">
      <c r="A439" s="442"/>
      <c r="B439" s="436" t="s">
        <v>25</v>
      </c>
      <c r="C439" s="437" t="s">
        <v>26</v>
      </c>
      <c r="D439" s="442"/>
      <c r="E439" s="443" t="s">
        <v>4201</v>
      </c>
      <c r="F439" s="446" t="s">
        <v>433</v>
      </c>
      <c r="G439" s="447">
        <v>9300</v>
      </c>
      <c r="H439" s="433" t="s">
        <v>4158</v>
      </c>
    </row>
    <row r="440" spans="1:8" ht="36.75" thickBot="1">
      <c r="A440" s="442"/>
      <c r="B440" s="436" t="s">
        <v>25</v>
      </c>
      <c r="C440" s="437" t="s">
        <v>26</v>
      </c>
      <c r="D440" s="442"/>
      <c r="E440" s="443" t="s">
        <v>4202</v>
      </c>
      <c r="F440" s="446" t="s">
        <v>433</v>
      </c>
      <c r="G440" s="447">
        <v>6400</v>
      </c>
      <c r="H440" s="433" t="s">
        <v>4158</v>
      </c>
    </row>
    <row r="441" spans="1:8" s="448" customFormat="1" ht="36.75" thickBot="1">
      <c r="A441" s="442"/>
      <c r="B441" s="436" t="s">
        <v>25</v>
      </c>
      <c r="C441" s="437" t="s">
        <v>26</v>
      </c>
      <c r="D441" s="442"/>
      <c r="E441" s="443" t="s">
        <v>4203</v>
      </c>
      <c r="F441" s="446" t="s">
        <v>433</v>
      </c>
      <c r="G441" s="447">
        <v>8700</v>
      </c>
      <c r="H441" s="433" t="s">
        <v>4158</v>
      </c>
    </row>
    <row r="442" spans="1:8" s="448" customFormat="1" ht="36.75" thickBot="1">
      <c r="A442" s="442"/>
      <c r="B442" s="436" t="s">
        <v>25</v>
      </c>
      <c r="C442" s="437" t="s">
        <v>26</v>
      </c>
      <c r="D442" s="442"/>
      <c r="E442" s="443" t="s">
        <v>4204</v>
      </c>
      <c r="F442" s="446" t="s">
        <v>433</v>
      </c>
      <c r="G442" s="447">
        <v>11300</v>
      </c>
      <c r="H442" s="433" t="s">
        <v>4158</v>
      </c>
    </row>
    <row r="443" spans="1:8" s="448" customFormat="1" ht="36.75" thickBot="1">
      <c r="A443" s="442"/>
      <c r="B443" s="436" t="s">
        <v>25</v>
      </c>
      <c r="C443" s="437" t="s">
        <v>26</v>
      </c>
      <c r="D443" s="442"/>
      <c r="E443" s="443" t="s">
        <v>4205</v>
      </c>
      <c r="F443" s="446" t="s">
        <v>433</v>
      </c>
      <c r="G443" s="447">
        <v>15000</v>
      </c>
      <c r="H443" s="433" t="s">
        <v>4158</v>
      </c>
    </row>
    <row r="444" spans="1:8" s="448" customFormat="1" ht="36.75" thickBot="1">
      <c r="A444" s="442"/>
      <c r="B444" s="436" t="s">
        <v>25</v>
      </c>
      <c r="C444" s="437" t="s">
        <v>26</v>
      </c>
      <c r="D444" s="442"/>
      <c r="E444" s="443" t="s">
        <v>4206</v>
      </c>
      <c r="F444" s="446" t="s">
        <v>433</v>
      </c>
      <c r="G444" s="447">
        <v>18100</v>
      </c>
      <c r="H444" s="433" t="s">
        <v>4158</v>
      </c>
    </row>
    <row r="445" spans="1:8" s="448" customFormat="1" ht="36.75" thickBot="1">
      <c r="A445" s="478"/>
      <c r="B445" s="472" t="s">
        <v>25</v>
      </c>
      <c r="C445" s="473" t="s">
        <v>26</v>
      </c>
      <c r="D445" s="478"/>
      <c r="E445" s="479" t="s">
        <v>253</v>
      </c>
      <c r="F445" s="480" t="s">
        <v>78</v>
      </c>
      <c r="G445" s="481">
        <v>48000</v>
      </c>
      <c r="H445" s="477" t="s">
        <v>4158</v>
      </c>
    </row>
    <row r="446" spans="1:8" s="448" customFormat="1" ht="36.75" thickBot="1">
      <c r="A446" s="450" t="s">
        <v>10</v>
      </c>
      <c r="B446" s="450" t="s">
        <v>2</v>
      </c>
      <c r="C446" s="450" t="s">
        <v>3</v>
      </c>
      <c r="D446" s="450" t="s">
        <v>4</v>
      </c>
      <c r="E446" s="450" t="s">
        <v>2754</v>
      </c>
      <c r="F446" s="451" t="s">
        <v>3600</v>
      </c>
      <c r="G446" s="451" t="s">
        <v>7</v>
      </c>
      <c r="H446" s="451" t="s">
        <v>8</v>
      </c>
    </row>
    <row r="447" spans="1:8" s="448" customFormat="1" ht="36.75" thickBot="1">
      <c r="A447" s="478"/>
      <c r="B447" s="472" t="s">
        <v>25</v>
      </c>
      <c r="C447" s="473" t="s">
        <v>26</v>
      </c>
      <c r="D447" s="478"/>
      <c r="E447" s="479" t="s">
        <v>309</v>
      </c>
      <c r="F447" s="480" t="s">
        <v>78</v>
      </c>
      <c r="G447" s="481">
        <v>9700</v>
      </c>
      <c r="H447" s="477" t="s">
        <v>4158</v>
      </c>
    </row>
    <row r="448" spans="1:8" ht="36.75" thickBot="1">
      <c r="A448" s="442"/>
      <c r="B448" s="436" t="s">
        <v>25</v>
      </c>
      <c r="C448" s="437" t="s">
        <v>26</v>
      </c>
      <c r="D448" s="442"/>
      <c r="E448" s="443" t="s">
        <v>328</v>
      </c>
      <c r="F448" s="446" t="s">
        <v>78</v>
      </c>
      <c r="G448" s="447">
        <v>66000</v>
      </c>
      <c r="H448" s="433" t="s">
        <v>4158</v>
      </c>
    </row>
    <row r="449" spans="1:8" ht="21.75" customHeight="1" thickBot="1">
      <c r="A449" s="442"/>
      <c r="B449" s="436" t="s">
        <v>25</v>
      </c>
      <c r="C449" s="437" t="s">
        <v>26</v>
      </c>
      <c r="D449" s="442"/>
      <c r="E449" s="443" t="s">
        <v>241</v>
      </c>
      <c r="F449" s="446" t="s">
        <v>78</v>
      </c>
      <c r="G449" s="447">
        <v>13800</v>
      </c>
      <c r="H449" s="433" t="s">
        <v>4158</v>
      </c>
    </row>
    <row r="450" spans="1:8" ht="36.75" thickBot="1">
      <c r="A450" s="442"/>
      <c r="B450" s="436" t="s">
        <v>25</v>
      </c>
      <c r="C450" s="437" t="s">
        <v>26</v>
      </c>
      <c r="D450" s="442"/>
      <c r="E450" s="443" t="s">
        <v>245</v>
      </c>
      <c r="F450" s="446" t="s">
        <v>78</v>
      </c>
      <c r="G450" s="447">
        <v>16800</v>
      </c>
      <c r="H450" s="433" t="s">
        <v>4158</v>
      </c>
    </row>
    <row r="451" spans="1:8" ht="36.75" thickBot="1">
      <c r="A451" s="442"/>
      <c r="B451" s="436" t="s">
        <v>25</v>
      </c>
      <c r="C451" s="437" t="s">
        <v>26</v>
      </c>
      <c r="D451" s="442"/>
      <c r="E451" s="443" t="s">
        <v>247</v>
      </c>
      <c r="F451" s="446" t="s">
        <v>78</v>
      </c>
      <c r="G451" s="447">
        <v>34200</v>
      </c>
      <c r="H451" s="433" t="s">
        <v>4158</v>
      </c>
    </row>
    <row r="452" spans="1:8" ht="36.75" thickBot="1">
      <c r="A452" s="442"/>
      <c r="B452" s="436" t="s">
        <v>25</v>
      </c>
      <c r="C452" s="437" t="s">
        <v>26</v>
      </c>
      <c r="D452" s="442"/>
      <c r="E452" s="443" t="s">
        <v>141</v>
      </c>
      <c r="F452" s="446" t="s">
        <v>78</v>
      </c>
      <c r="G452" s="447">
        <v>21000</v>
      </c>
      <c r="H452" s="433" t="s">
        <v>4158</v>
      </c>
    </row>
    <row r="453" spans="1:8" ht="36.75" thickBot="1">
      <c r="A453" s="482"/>
      <c r="B453" s="472" t="s">
        <v>25</v>
      </c>
      <c r="C453" s="473" t="s">
        <v>26</v>
      </c>
      <c r="D453" s="482"/>
      <c r="E453" s="482" t="s">
        <v>4207</v>
      </c>
      <c r="F453" s="480" t="s">
        <v>53</v>
      </c>
      <c r="G453" s="481">
        <v>22000</v>
      </c>
      <c r="H453" s="477" t="s">
        <v>4158</v>
      </c>
    </row>
    <row r="454" spans="1:8" ht="36.75" thickBot="1">
      <c r="A454" s="482"/>
      <c r="B454" s="472" t="s">
        <v>25</v>
      </c>
      <c r="C454" s="473" t="s">
        <v>26</v>
      </c>
      <c r="D454" s="482"/>
      <c r="E454" s="482" t="s">
        <v>4208</v>
      </c>
      <c r="F454" s="480" t="s">
        <v>53</v>
      </c>
      <c r="G454" s="481">
        <v>34000</v>
      </c>
      <c r="H454" s="477" t="s">
        <v>4158</v>
      </c>
    </row>
    <row r="455" spans="1:8" ht="36.75" thickBot="1">
      <c r="A455" s="482"/>
      <c r="B455" s="472" t="s">
        <v>25</v>
      </c>
      <c r="C455" s="473" t="s">
        <v>26</v>
      </c>
      <c r="D455" s="482"/>
      <c r="E455" s="482" t="s">
        <v>4209</v>
      </c>
      <c r="F455" s="480" t="s">
        <v>53</v>
      </c>
      <c r="G455" s="481">
        <v>85000</v>
      </c>
      <c r="H455" s="477" t="s">
        <v>4158</v>
      </c>
    </row>
    <row r="456" spans="1:8" ht="36.75" thickBot="1">
      <c r="A456" s="482"/>
      <c r="B456" s="472" t="s">
        <v>25</v>
      </c>
      <c r="C456" s="473" t="s">
        <v>26</v>
      </c>
      <c r="D456" s="482"/>
      <c r="E456" s="483" t="s">
        <v>4210</v>
      </c>
      <c r="F456" s="484" t="s">
        <v>53</v>
      </c>
      <c r="G456" s="485">
        <v>110000</v>
      </c>
      <c r="H456" s="477" t="s">
        <v>4158</v>
      </c>
    </row>
    <row r="457" spans="1:8" ht="36.75" thickBot="1">
      <c r="A457" s="482"/>
      <c r="B457" s="472" t="s">
        <v>25</v>
      </c>
      <c r="C457" s="473" t="s">
        <v>26</v>
      </c>
      <c r="D457" s="482"/>
      <c r="E457" s="482" t="s">
        <v>4211</v>
      </c>
      <c r="F457" s="480" t="s">
        <v>53</v>
      </c>
      <c r="G457" s="481">
        <v>97000</v>
      </c>
      <c r="H457" s="477" t="s">
        <v>4158</v>
      </c>
    </row>
    <row r="458" spans="1:8" ht="36.75" thickBot="1">
      <c r="A458" s="482"/>
      <c r="B458" s="472" t="s">
        <v>25</v>
      </c>
      <c r="C458" s="473" t="s">
        <v>26</v>
      </c>
      <c r="D458" s="482"/>
      <c r="E458" s="482" t="s">
        <v>4212</v>
      </c>
      <c r="F458" s="480" t="s">
        <v>53</v>
      </c>
      <c r="G458" s="481">
        <v>85000</v>
      </c>
      <c r="H458" s="477" t="s">
        <v>4158</v>
      </c>
    </row>
    <row r="459" spans="1:8" ht="36.75" thickBot="1">
      <c r="A459" s="482"/>
      <c r="B459" s="472" t="s">
        <v>25</v>
      </c>
      <c r="C459" s="473" t="s">
        <v>26</v>
      </c>
      <c r="D459" s="482"/>
      <c r="E459" s="482" t="s">
        <v>4213</v>
      </c>
      <c r="F459" s="480" t="s">
        <v>53</v>
      </c>
      <c r="G459" s="481">
        <v>80000</v>
      </c>
      <c r="H459" s="477" t="s">
        <v>4158</v>
      </c>
    </row>
    <row r="460" spans="1:8" ht="36.75" thickBot="1">
      <c r="A460" s="482"/>
      <c r="B460" s="472" t="s">
        <v>25</v>
      </c>
      <c r="C460" s="473" t="s">
        <v>26</v>
      </c>
      <c r="D460" s="482"/>
      <c r="E460" s="482" t="s">
        <v>312</v>
      </c>
      <c r="F460" s="480" t="s">
        <v>78</v>
      </c>
      <c r="G460" s="481">
        <v>24500</v>
      </c>
      <c r="H460" s="477" t="s">
        <v>4158</v>
      </c>
    </row>
  </sheetData>
  <autoFilter ref="A1:H170" xr:uid="{00000000-0009-0000-0000-000004000000}"/>
  <mergeCells count="25">
    <mergeCell ref="A196:H196"/>
    <mergeCell ref="A224:H224"/>
    <mergeCell ref="A316:H316"/>
    <mergeCell ref="A321:H321"/>
    <mergeCell ref="A331:H331"/>
    <mergeCell ref="A227:H227"/>
    <mergeCell ref="A230:H230"/>
    <mergeCell ref="A233:H233"/>
    <mergeCell ref="A278:H278"/>
    <mergeCell ref="A285:H285"/>
    <mergeCell ref="A325:H325"/>
    <mergeCell ref="A2:H2"/>
    <mergeCell ref="A21:H21"/>
    <mergeCell ref="A24:H24"/>
    <mergeCell ref="A28:H28"/>
    <mergeCell ref="A40:H40"/>
    <mergeCell ref="A48:H48"/>
    <mergeCell ref="A70:H70"/>
    <mergeCell ref="A171:H171"/>
    <mergeCell ref="A181:H181"/>
    <mergeCell ref="A192:H192"/>
    <mergeCell ref="A116:H116"/>
    <mergeCell ref="A132:H132"/>
    <mergeCell ref="A87:H87"/>
    <mergeCell ref="A186:H186"/>
  </mergeCells>
  <conditionalFormatting sqref="B204 B208 B237 B240:B242 B244 B288 D244 D288 B334:D335 B339:D339 B343:D343 B296:D298 C29:C39 B234 C332:C333 C336:C338 C340:C341 C344:C369 C54:C58 C92:C115 C172:C180 C193:C195 C225:C226 C228:C229 C231:C232 C277 C279:C284 C299:C315 C317:C320 C88:C90 C182:C185 C187:C191 C322:C324 C68 C60:C63 C65 C71:C80 C82:C86 C117:C122 C124:C131 C133:C158 C160:C170 C197:C201 C203:C223 C234:C249 C251:C275 C286:C292 C294:C295 B326:D329 C371:C388 C390:C416 C418:C445 C447:C460">
    <cfRule type="beginsWith" dxfId="270" priority="10" operator="beginsWith" text="พัสดุ">
      <formula>LEFT((E29),LEN("พัสดุ"))=("พัสดุ")</formula>
    </cfRule>
  </conditionalFormatting>
  <conditionalFormatting sqref="B204 B208 B237 B240:B242 B244 B288 B326:B329 B334:B335 B339 B343">
    <cfRule type="beginsWith" dxfId="269" priority="11" operator="beginsWith" text="พัสดุ">
      <formula>LEFT((E204),LEN("พัสดุ"))=("พัสดุ")</formula>
    </cfRule>
  </conditionalFormatting>
  <conditionalFormatting sqref="C129 C146 C182 B204">
    <cfRule type="beginsWith" dxfId="268" priority="12" operator="beginsWith" text="พัสดุ">
      <formula>LEFT((E129),LEN("พัสดุ"))=("พัสดุ")</formula>
    </cfRule>
  </conditionalFormatting>
  <conditionalFormatting sqref="E244 E288 E334:E335 E339 E343 E241:E242 E296:E298 E326:E329">
    <cfRule type="beginsWith" dxfId="267" priority="13" operator="beginsWith" text="พัสดุ">
      <formula>LEFT((#REF!),LEN("พัสดุ"))=("พัสดุ")</formula>
    </cfRule>
  </conditionalFormatting>
  <conditionalFormatting sqref="H146 G296:H298">
    <cfRule type="beginsWith" dxfId="266" priority="14" operator="beginsWith" text="พัสดุ">
      <formula>LEFT((#REF!),LEN("พัสดุ"))=("พัสดุ")</formula>
    </cfRule>
  </conditionalFormatting>
  <conditionalFormatting sqref="H208 H234 H88 H182 H204 G240:H242 G244:H244 G288:H288 G326:H329 G334:G335 G339 G343 G237:H237">
    <cfRule type="beginsWith" dxfId="265" priority="15" operator="beginsWith" text="พัสดุ">
      <formula>LEFT((#REF!),LEN("พัสดุ"))=("พัสดุ")</formula>
    </cfRule>
  </conditionalFormatting>
  <conditionalFormatting sqref="F240:F242 F244 F288 F334:F335 F339 F343 F296:F298 F326:F329">
    <cfRule type="beginsWith" dxfId="264" priority="16" operator="beginsWith" text="พัสดุ">
      <formula>LEFT((H240),LEN("พัสดุ"))=("พัสดุ")</formula>
    </cfRule>
  </conditionalFormatting>
  <conditionalFormatting sqref="A116 A132 A171 A181 A192 A196 A224 A227 A230 A233 A278 A285 A316 A321 A87 A186 A325">
    <cfRule type="beginsWith" dxfId="263" priority="17" operator="beginsWith" text="พัสดุ">
      <formula>LEFT((F87),LEN("พัสดุ"))=("พัสดุ")</formula>
    </cfRule>
  </conditionalFormatting>
  <conditionalFormatting sqref="A331">
    <cfRule type="beginsWith" dxfId="262" priority="9" operator="beginsWith" text="พัสดุ">
      <formula>LEFT((F331),LEN("พัสดุ"))=("พัสดุ")</formula>
    </cfRule>
  </conditionalFormatting>
  <conditionalFormatting sqref="C370">
    <cfRule type="beginsWith" dxfId="261" priority="8" operator="beginsWith" text="พัสดุ">
      <formula>LEFT((F370),LEN("พัสดุ"))=("พัสดุ")</formula>
    </cfRule>
  </conditionalFormatting>
  <conditionalFormatting sqref="C276">
    <cfRule type="beginsWith" dxfId="260" priority="7" operator="beginsWith" text="พัสดุ">
      <formula>LEFT((F276),LEN("พัสดุ"))=("พัสดุ")</formula>
    </cfRule>
  </conditionalFormatting>
  <conditionalFormatting sqref="C59">
    <cfRule type="beginsWith" dxfId="259" priority="6" operator="beginsWith" text="พัสดุ">
      <formula>LEFT((F59),LEN("พัสดุ"))=("พัสดุ")</formula>
    </cfRule>
  </conditionalFormatting>
  <conditionalFormatting sqref="C66">
    <cfRule type="beginsWith" dxfId="258" priority="5" operator="beginsWith" text="พัสดุ">
      <formula>LEFT((F66),LEN("พัสดุ"))=("พัสดุ")</formula>
    </cfRule>
  </conditionalFormatting>
  <conditionalFormatting sqref="C67">
    <cfRule type="beginsWith" dxfId="257" priority="4" operator="beginsWith" text="พัสดุ">
      <formula>LEFT((F67),LEN("พัสดุ"))=("พัสดุ")</formula>
    </cfRule>
  </conditionalFormatting>
  <conditionalFormatting sqref="C64">
    <cfRule type="beginsWith" dxfId="256" priority="2" operator="beginsWith" text="พัสดุ">
      <formula>LEFT((F64),LEN("พัสดุ"))=("พัสดุ")</formula>
    </cfRule>
  </conditionalFormatting>
  <conditionalFormatting sqref="C81">
    <cfRule type="beginsWith" dxfId="255" priority="1" operator="beginsWith" text="พัสดุ">
      <formula>LEFT((F81),LEN("พัสดุ"))=("พัสดุ")</formula>
    </cfRule>
  </conditionalFormatting>
  <dataValidations count="1">
    <dataValidation type="list" allowBlank="1" sqref="B92:B115 B117:B131 B182:B185 B225:B226 B228:B229 B317 B319:B320 B322:B324 B232 B172:B180 B193:B195 B279:B284 B187:B191 B29:B39 B88:B90 B234:B277 B286:B315 B71:B86 B54:B68 B133:B170 B197:B223 B326:B330" xr:uid="{00000000-0002-0000-0400-000000000000}">
      <formula1>"กวก.ฯ,กอค.ฯ,กสน.ฯ,กรง.ฯ,กดก.ฯ,กปภ.ฯ,กฟฟ.ฯ,ชย.ทอ."</formula1>
    </dataValidation>
  </dataValidations>
  <hyperlinks>
    <hyperlink ref="H3" r:id="rId1" display="https://drive.google.com/open?id=1VdHj9VjX4_igB-pTZwbN0-0PYtbtaFJX" xr:uid="{00000000-0004-0000-0400-000000000000}"/>
    <hyperlink ref="H4" r:id="rId2" display="https://drive.google.com/open?id=0B2vBTVEfSzItZzBYV2cyTGtJLTA" xr:uid="{00000000-0004-0000-0400-000001000000}"/>
    <hyperlink ref="H5" r:id="rId3" display="https://drive.google.com/open?id=0B2vBTVEfSzItVDBzc3RwZ2F5SGM" xr:uid="{00000000-0004-0000-0400-000002000000}"/>
    <hyperlink ref="H6" r:id="rId4" display="https://drive.google.com/open?id=1KQe81ndxnboVCQ2wDiN-5qHbLV8orSNV" xr:uid="{00000000-0004-0000-0400-000003000000}"/>
    <hyperlink ref="H8" r:id="rId5" display="https://drive.google.com/open?id=1tbmxLDs2XdlTjG_MbgoWNjMI-uWEYO6s" xr:uid="{00000000-0004-0000-0400-000004000000}"/>
    <hyperlink ref="H9" r:id="rId6" display="https://drive.google.com/open?id=0B2rLR4BADrBtN1BLSnNrSHR1SUE" xr:uid="{00000000-0004-0000-0400-000005000000}"/>
    <hyperlink ref="H10" r:id="rId7" display="https://drive.google.com/open?id=0B2rLR4BADrBtallTanYxUTQ0eXc" xr:uid="{00000000-0004-0000-0400-000006000000}"/>
    <hyperlink ref="H11" r:id="rId8" display="https://drive.google.com/open?id=0B2rLR4BADrBtbmVab1pNaDZHcFU" xr:uid="{00000000-0004-0000-0400-000007000000}"/>
    <hyperlink ref="H12" r:id="rId9" display="https://drive.google.com/open?id=0B2vBTVEfSzItN0l1dkZGekVwNmM" xr:uid="{00000000-0004-0000-0400-000008000000}"/>
    <hyperlink ref="H13" r:id="rId10" display="https://drive.google.com/open?id=1d-colTudNLeYNW53-LZTFcfJ5Hj_cb1k" xr:uid="{00000000-0004-0000-0400-000009000000}"/>
    <hyperlink ref="H14" r:id="rId11" display="https://drive.google.com/open?id=0B2vBTVEfSzItQnlzZ2dwSVU3Nm8" xr:uid="{00000000-0004-0000-0400-00000A000000}"/>
    <hyperlink ref="H15" r:id="rId12" display="https://drive.google.com/open?id=1zhu8FHz5kc6dijTB33dmeY5tfh77gOUh" xr:uid="{00000000-0004-0000-0400-00000B000000}"/>
    <hyperlink ref="H16" r:id="rId13" display="https://drive.google.com/open?id=0B2rLR4BADrBtcnlUNnJwd2Rua3c" xr:uid="{00000000-0004-0000-0400-00000C000000}"/>
    <hyperlink ref="H17" r:id="rId14" display="https://drive.google.com/open?id=1c9ROm4HUcAc15S4MXmpkFN2sBo4k3rwu" xr:uid="{00000000-0004-0000-0400-00000D000000}"/>
    <hyperlink ref="H18" r:id="rId15" display="https://drive.google.com/open?id=0B2rLR4BADrBtSTVSam9qQ1QwNlE" xr:uid="{00000000-0004-0000-0400-00000E000000}"/>
    <hyperlink ref="H19" r:id="rId16" display="https://drive.google.com/open?id=0B2rLR4BADrBtR1JUbUVIbHBQdE0" xr:uid="{00000000-0004-0000-0400-00000F000000}"/>
    <hyperlink ref="H22" r:id="rId17" display="https://drive.google.com/open?id=0B2rLR4BADrBtT3gwb3hYWjY3Qzg" xr:uid="{00000000-0004-0000-0400-000010000000}"/>
    <hyperlink ref="H23" r:id="rId18" display="https://drive.google.com/open?id=0B2rLR4BADrBtTFd4NHpveWVRejQ" xr:uid="{00000000-0004-0000-0400-000011000000}"/>
    <hyperlink ref="H25" r:id="rId19" display="https://drive.google.com/open?id=0B2rLR4BADrBtT3gwb3hYWjY3Qzg" xr:uid="{00000000-0004-0000-0400-000012000000}"/>
    <hyperlink ref="H26" r:id="rId20" display="https://drive.google.com/open?id=0B2rLR4BADrBtTFd4NHpveWVRejQ" xr:uid="{00000000-0004-0000-0400-000013000000}"/>
    <hyperlink ref="H27" r:id="rId21" display="https://drive.google.com/open?id=0B2rLR4BADrBtdG1RQTR2QTF5R1E" xr:uid="{00000000-0004-0000-0400-000014000000}"/>
    <hyperlink ref="H41" r:id="rId22" display="https://drive.google.com/open?id=1ufQfoDiiaYCbrJzN3VHB6iPNKKG93CRr" xr:uid="{00000000-0004-0000-0400-000015000000}"/>
    <hyperlink ref="H43" r:id="rId23" display="https://drive.google.com/file/d/15ESC8cXjsJkafs8RLoJOKzvMwZmu0bUy/view?usp=sharing" xr:uid="{00000000-0004-0000-0400-000016000000}"/>
    <hyperlink ref="H44" r:id="rId24" display="https://drive.google.com/file/d/1pKHBgNrqeSlTXQiJ89vNQxpyFoKbN5WZ/view?usp=sharing" xr:uid="{00000000-0004-0000-0400-000017000000}"/>
    <hyperlink ref="H46" r:id="rId25" display="https://drive.google.com/open?id=0B2vBTVEfSzItRjBoaWdNb3JlbW8" xr:uid="{00000000-0004-0000-0400-000018000000}"/>
    <hyperlink ref="H47" r:id="rId26" display="https://drive.google.com/open?id=0B2rLR4BADrBtQWpSdUx2a0oxczg" xr:uid="{00000000-0004-0000-0400-000019000000}"/>
    <hyperlink ref="H49" r:id="rId27" display="https://drive.google.com/open?id=0B2vBTVEfSzItS21fd2RzWFAxZE0" xr:uid="{00000000-0004-0000-0400-00001A000000}"/>
    <hyperlink ref="H50" r:id="rId28" display="https://drive.google.com/open?id=0B2rLR4BADrBtNTFZWkdGaWZYWG8" xr:uid="{00000000-0004-0000-0400-00001B000000}"/>
    <hyperlink ref="H51" r:id="rId29" display="https://drive.google.com/open?id=0B2vBTVEfSzItME90d1dqTjBGZGs" xr:uid="{00000000-0004-0000-0400-00001C000000}"/>
    <hyperlink ref="H52" r:id="rId30" display="https://drive.google.com/open?id=1r_CIVuHpalaal0RW_5rYR3_kL0HSK31y" xr:uid="{00000000-0004-0000-0400-00001D000000}"/>
    <hyperlink ref="H53" r:id="rId31" display="https://drive.google.com/open?id=1zXwF20wl-SN960KREf7OXsDJIuaLLZft" xr:uid="{00000000-0004-0000-0400-00001E000000}"/>
    <hyperlink ref="H42" r:id="rId32" display="https://drive.google.com/open?id=0B2vBTVEfSzItWWFhdUNacTUtMnM" xr:uid="{00000000-0004-0000-0400-00001F000000}"/>
    <hyperlink ref="H20" r:id="rId33" display="https://drive.google.com/open?id=0B2rLR4BADrBtR1JUbUVIbHBQdE0" xr:uid="{00000000-0004-0000-0400-000020000000}"/>
    <hyperlink ref="H7" r:id="rId34" display="https://drive.google.com/open?id=1KQe81ndxnboVCQ2wDiN-5qHbLV8orSNV" xr:uid="{00000000-0004-0000-0400-000021000000}"/>
  </hyperlinks>
  <pageMargins left="0.5" right="0.25" top="0.75" bottom="0.75" header="0.3" footer="0.3"/>
  <pageSetup paperSize="9" scale="67" fitToHeight="0" orientation="portrait" horizontalDpi="360" verticalDpi="360" r:id="rId3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438"/>
  <sheetViews>
    <sheetView topLeftCell="A133" zoomScale="115" zoomScaleNormal="115" workbookViewId="0">
      <selection activeCell="E142" sqref="A1:H438"/>
    </sheetView>
  </sheetViews>
  <sheetFormatPr defaultColWidth="14.42578125" defaultRowHeight="18"/>
  <cols>
    <col min="1" max="1" width="12.85546875" style="435" customWidth="1"/>
    <col min="2" max="2" width="11.140625" style="435" customWidth="1"/>
    <col min="3" max="3" width="14.28515625" style="435" customWidth="1"/>
    <col min="4" max="4" width="4.140625" style="435" customWidth="1"/>
    <col min="5" max="5" width="60.42578125" style="435" customWidth="1"/>
    <col min="6" max="6" width="8.85546875" style="449" customWidth="1"/>
    <col min="7" max="7" width="15.28515625" style="449" customWidth="1"/>
    <col min="8" max="8" width="15.42578125" style="449" customWidth="1"/>
    <col min="9" max="16384" width="14.42578125" style="435"/>
  </cols>
  <sheetData>
    <row r="1" spans="1:8" ht="38.25" thickBot="1">
      <c r="A1" s="537" t="s">
        <v>10</v>
      </c>
      <c r="B1" s="537" t="s">
        <v>2</v>
      </c>
      <c r="C1" s="537" t="s">
        <v>3</v>
      </c>
      <c r="D1" s="537" t="s">
        <v>4</v>
      </c>
      <c r="E1" s="537" t="s">
        <v>2754</v>
      </c>
      <c r="F1" s="538" t="s">
        <v>3600</v>
      </c>
      <c r="G1" s="538" t="s">
        <v>7</v>
      </c>
      <c r="H1" s="538" t="s">
        <v>8</v>
      </c>
    </row>
    <row r="2" spans="1:8" ht="19.5" thickBot="1">
      <c r="A2" s="539" t="s">
        <v>4167</v>
      </c>
      <c r="B2" s="540"/>
      <c r="C2" s="540"/>
      <c r="D2" s="540"/>
      <c r="E2" s="540"/>
      <c r="F2" s="540"/>
      <c r="G2" s="540"/>
      <c r="H2" s="541"/>
    </row>
    <row r="3" spans="1:8" ht="19.5" thickBot="1">
      <c r="A3" s="542">
        <v>2320</v>
      </c>
      <c r="B3" s="543" t="s">
        <v>37</v>
      </c>
      <c r="C3" s="544">
        <v>2320.0806451612902</v>
      </c>
      <c r="D3" s="543">
        <v>62</v>
      </c>
      <c r="E3" s="545" t="s">
        <v>56</v>
      </c>
      <c r="F3" s="543" t="s">
        <v>28</v>
      </c>
      <c r="G3" s="546">
        <v>3900000</v>
      </c>
      <c r="H3" s="547">
        <v>2320</v>
      </c>
    </row>
    <row r="4" spans="1:8" ht="19.5" thickBot="1">
      <c r="A4" s="548">
        <v>2320</v>
      </c>
      <c r="B4" s="549" t="s">
        <v>37</v>
      </c>
      <c r="C4" s="550">
        <v>2320.0166666666669</v>
      </c>
      <c r="D4" s="549">
        <v>60</v>
      </c>
      <c r="E4" s="551" t="s">
        <v>55</v>
      </c>
      <c r="F4" s="549" t="s">
        <v>28</v>
      </c>
      <c r="G4" s="552">
        <v>8100000</v>
      </c>
      <c r="H4" s="553">
        <v>2320</v>
      </c>
    </row>
    <row r="5" spans="1:8" ht="19.5" thickBot="1">
      <c r="A5" s="548">
        <v>2320</v>
      </c>
      <c r="B5" s="549" t="s">
        <v>37</v>
      </c>
      <c r="C5" s="550">
        <v>2320.0338983050847</v>
      </c>
      <c r="D5" s="549">
        <v>59</v>
      </c>
      <c r="E5" s="551" t="s">
        <v>60</v>
      </c>
      <c r="F5" s="549" t="s">
        <v>28</v>
      </c>
      <c r="G5" s="552">
        <v>3210000</v>
      </c>
      <c r="H5" s="553">
        <v>2320</v>
      </c>
    </row>
    <row r="6" spans="1:8" ht="19.5" thickBot="1">
      <c r="A6" s="548">
        <v>2320</v>
      </c>
      <c r="B6" s="549" t="s">
        <v>63</v>
      </c>
      <c r="C6" s="550">
        <v>2320.0483870967741</v>
      </c>
      <c r="D6" s="549">
        <v>62</v>
      </c>
      <c r="E6" s="551" t="s">
        <v>69</v>
      </c>
      <c r="F6" s="549" t="s">
        <v>28</v>
      </c>
      <c r="G6" s="552">
        <v>2100000</v>
      </c>
      <c r="H6" s="554">
        <v>2320</v>
      </c>
    </row>
    <row r="7" spans="1:8" ht="19.5" thickBot="1">
      <c r="A7" s="548">
        <v>2320</v>
      </c>
      <c r="B7" s="549" t="s">
        <v>63</v>
      </c>
      <c r="C7" s="550">
        <v>2320.0645161290322</v>
      </c>
      <c r="D7" s="549">
        <v>62</v>
      </c>
      <c r="E7" s="551" t="s">
        <v>965</v>
      </c>
      <c r="F7" s="549" t="s">
        <v>28</v>
      </c>
      <c r="G7" s="552">
        <v>12500000</v>
      </c>
      <c r="H7" s="553">
        <v>2320</v>
      </c>
    </row>
    <row r="8" spans="1:8" ht="19.5" thickBot="1">
      <c r="A8" s="548">
        <v>2320</v>
      </c>
      <c r="B8" s="549" t="s">
        <v>63</v>
      </c>
      <c r="C8" s="550">
        <v>2320.0163934426228</v>
      </c>
      <c r="D8" s="549">
        <v>61</v>
      </c>
      <c r="E8" s="551" t="s">
        <v>82</v>
      </c>
      <c r="F8" s="549" t="s">
        <v>28</v>
      </c>
      <c r="G8" s="552">
        <v>12000000</v>
      </c>
      <c r="H8" s="553">
        <v>2320</v>
      </c>
    </row>
    <row r="9" spans="1:8" ht="38.25" thickBot="1">
      <c r="A9" s="548">
        <v>2320</v>
      </c>
      <c r="B9" s="549" t="s">
        <v>63</v>
      </c>
      <c r="C9" s="550">
        <v>2320.0357142857142</v>
      </c>
      <c r="D9" s="549">
        <v>56</v>
      </c>
      <c r="E9" s="551" t="s">
        <v>90</v>
      </c>
      <c r="F9" s="549" t="s">
        <v>28</v>
      </c>
      <c r="G9" s="552">
        <v>2800000</v>
      </c>
      <c r="H9" s="553">
        <v>2320</v>
      </c>
    </row>
    <row r="10" spans="1:8" ht="38.25" thickBot="1">
      <c r="A10" s="548">
        <v>2320</v>
      </c>
      <c r="B10" s="549" t="s">
        <v>63</v>
      </c>
      <c r="C10" s="550">
        <v>2320.0535714285716</v>
      </c>
      <c r="D10" s="549">
        <v>56</v>
      </c>
      <c r="E10" s="551" t="s">
        <v>96</v>
      </c>
      <c r="F10" s="549" t="s">
        <v>28</v>
      </c>
      <c r="G10" s="552">
        <v>2900000</v>
      </c>
      <c r="H10" s="553">
        <v>2320</v>
      </c>
    </row>
    <row r="11" spans="1:8" ht="19.5" thickBot="1">
      <c r="A11" s="548">
        <v>2320</v>
      </c>
      <c r="B11" s="549" t="s">
        <v>63</v>
      </c>
      <c r="C11" s="550">
        <v>2320.0178571428573</v>
      </c>
      <c r="D11" s="549">
        <v>56</v>
      </c>
      <c r="E11" s="551" t="s">
        <v>100</v>
      </c>
      <c r="F11" s="549" t="s">
        <v>28</v>
      </c>
      <c r="G11" s="552">
        <v>6500000</v>
      </c>
      <c r="H11" s="553">
        <v>2320</v>
      </c>
    </row>
    <row r="12" spans="1:8" ht="19.5" thickBot="1">
      <c r="A12" s="548">
        <v>2320</v>
      </c>
      <c r="B12" s="549" t="s">
        <v>63</v>
      </c>
      <c r="C12" s="550">
        <v>2320.0344827586205</v>
      </c>
      <c r="D12" s="549">
        <v>58</v>
      </c>
      <c r="E12" s="551" t="s">
        <v>106</v>
      </c>
      <c r="F12" s="549" t="s">
        <v>28</v>
      </c>
      <c r="G12" s="552">
        <v>4800000</v>
      </c>
      <c r="H12" s="553">
        <v>2320</v>
      </c>
    </row>
    <row r="13" spans="1:8" ht="19.5" thickBot="1">
      <c r="A13" s="548">
        <v>2320</v>
      </c>
      <c r="B13" s="549" t="s">
        <v>63</v>
      </c>
      <c r="C13" s="550">
        <v>2320.0555555555557</v>
      </c>
      <c r="D13" s="549">
        <v>54</v>
      </c>
      <c r="E13" s="551" t="s">
        <v>110</v>
      </c>
      <c r="F13" s="549" t="s">
        <v>28</v>
      </c>
      <c r="G13" s="552">
        <v>1100000</v>
      </c>
      <c r="H13" s="553">
        <v>2320</v>
      </c>
    </row>
    <row r="14" spans="1:8" ht="19.5" thickBot="1">
      <c r="A14" s="548">
        <v>2320</v>
      </c>
      <c r="B14" s="549" t="s">
        <v>63</v>
      </c>
      <c r="C14" s="550">
        <v>2320.0689655172414</v>
      </c>
      <c r="D14" s="549">
        <v>58</v>
      </c>
      <c r="E14" s="551" t="s">
        <v>116</v>
      </c>
      <c r="F14" s="549" t="s">
        <v>28</v>
      </c>
      <c r="G14" s="552">
        <v>1980000</v>
      </c>
      <c r="H14" s="553">
        <v>2320</v>
      </c>
    </row>
    <row r="15" spans="1:8" ht="19.5" thickBot="1">
      <c r="A15" s="548">
        <v>2320</v>
      </c>
      <c r="B15" s="549" t="s">
        <v>63</v>
      </c>
      <c r="C15" s="550">
        <v>2320.0322580645161</v>
      </c>
      <c r="D15" s="549">
        <v>62</v>
      </c>
      <c r="E15" s="551" t="s">
        <v>120</v>
      </c>
      <c r="F15" s="549" t="s">
        <v>28</v>
      </c>
      <c r="G15" s="552">
        <v>950000</v>
      </c>
      <c r="H15" s="553">
        <v>2320</v>
      </c>
    </row>
    <row r="16" spans="1:8" ht="19.5" thickBot="1">
      <c r="A16" s="548">
        <v>2320</v>
      </c>
      <c r="B16" s="549" t="s">
        <v>63</v>
      </c>
      <c r="C16" s="550">
        <v>2320.0350877192982</v>
      </c>
      <c r="D16" s="549">
        <v>57</v>
      </c>
      <c r="E16" s="551" t="s">
        <v>136</v>
      </c>
      <c r="F16" s="549" t="s">
        <v>28</v>
      </c>
      <c r="G16" s="552">
        <v>982000</v>
      </c>
      <c r="H16" s="553">
        <v>2320</v>
      </c>
    </row>
    <row r="17" spans="1:8" ht="19.5" thickBot="1">
      <c r="A17" s="548">
        <v>2320</v>
      </c>
      <c r="B17" s="549" t="s">
        <v>63</v>
      </c>
      <c r="C17" s="550">
        <v>2320.016129032258</v>
      </c>
      <c r="D17" s="549">
        <v>62</v>
      </c>
      <c r="E17" s="551" t="s">
        <v>145</v>
      </c>
      <c r="F17" s="549" t="s">
        <v>28</v>
      </c>
      <c r="G17" s="552">
        <v>950000</v>
      </c>
      <c r="H17" s="553">
        <v>2320</v>
      </c>
    </row>
    <row r="18" spans="1:8" ht="19.5" thickBot="1">
      <c r="A18" s="548">
        <v>2320</v>
      </c>
      <c r="B18" s="549" t="s">
        <v>63</v>
      </c>
      <c r="C18" s="549" t="s">
        <v>153</v>
      </c>
      <c r="D18" s="549">
        <v>56</v>
      </c>
      <c r="E18" s="551" t="s">
        <v>154</v>
      </c>
      <c r="F18" s="549" t="s">
        <v>28</v>
      </c>
      <c r="G18" s="552">
        <v>70000000</v>
      </c>
      <c r="H18" s="553">
        <v>2320</v>
      </c>
    </row>
    <row r="19" spans="1:8" ht="19.5" thickBot="1">
      <c r="A19" s="548">
        <v>2320</v>
      </c>
      <c r="B19" s="549" t="s">
        <v>63</v>
      </c>
      <c r="C19" s="549" t="s">
        <v>162</v>
      </c>
      <c r="D19" s="549">
        <v>56</v>
      </c>
      <c r="E19" s="551" t="s">
        <v>163</v>
      </c>
      <c r="F19" s="549" t="s">
        <v>28</v>
      </c>
      <c r="G19" s="552">
        <v>45000000</v>
      </c>
      <c r="H19" s="554">
        <v>2320</v>
      </c>
    </row>
    <row r="20" spans="1:8" ht="19.5" thickBot="1">
      <c r="A20" s="556">
        <v>2320</v>
      </c>
      <c r="B20" s="557" t="s">
        <v>63</v>
      </c>
      <c r="C20" s="558">
        <v>2320.0967741935483</v>
      </c>
      <c r="D20" s="557">
        <v>62</v>
      </c>
      <c r="E20" s="559" t="s">
        <v>2364</v>
      </c>
      <c r="F20" s="557" t="s">
        <v>28</v>
      </c>
      <c r="G20" s="560">
        <v>7000000</v>
      </c>
      <c r="H20" s="553">
        <v>2320</v>
      </c>
    </row>
    <row r="21" spans="1:8" ht="19.5" thickBot="1">
      <c r="A21" s="539" t="s">
        <v>4168</v>
      </c>
      <c r="B21" s="540"/>
      <c r="C21" s="540"/>
      <c r="D21" s="540"/>
      <c r="E21" s="540"/>
      <c r="F21" s="540"/>
      <c r="G21" s="540"/>
      <c r="H21" s="541"/>
    </row>
    <row r="22" spans="1:8" ht="19.5" thickBot="1">
      <c r="A22" s="542">
        <v>2420</v>
      </c>
      <c r="B22" s="543" t="s">
        <v>63</v>
      </c>
      <c r="C22" s="544">
        <v>2420.0178571428573</v>
      </c>
      <c r="D22" s="543">
        <v>56</v>
      </c>
      <c r="E22" s="545" t="s">
        <v>173</v>
      </c>
      <c r="F22" s="543" t="s">
        <v>28</v>
      </c>
      <c r="G22" s="546">
        <v>740000</v>
      </c>
      <c r="H22" s="547">
        <v>2420</v>
      </c>
    </row>
    <row r="23" spans="1:8" ht="38.25" thickBot="1">
      <c r="A23" s="556">
        <v>2420</v>
      </c>
      <c r="B23" s="557" t="s">
        <v>63</v>
      </c>
      <c r="C23" s="558">
        <v>2420.0172413793102</v>
      </c>
      <c r="D23" s="557">
        <v>58</v>
      </c>
      <c r="E23" s="559" t="s">
        <v>4245</v>
      </c>
      <c r="F23" s="557" t="s">
        <v>28</v>
      </c>
      <c r="G23" s="561">
        <v>1400000</v>
      </c>
      <c r="H23" s="562">
        <v>2420</v>
      </c>
    </row>
    <row r="24" spans="1:8" ht="19.5" thickBot="1">
      <c r="A24" s="539" t="s">
        <v>4120</v>
      </c>
      <c r="B24" s="540"/>
      <c r="C24" s="540"/>
      <c r="D24" s="540"/>
      <c r="E24" s="540"/>
      <c r="F24" s="540"/>
      <c r="G24" s="540"/>
      <c r="H24" s="541"/>
    </row>
    <row r="25" spans="1:8" ht="19.5" thickBot="1">
      <c r="A25" s="542">
        <v>3220</v>
      </c>
      <c r="B25" s="543" t="s">
        <v>191</v>
      </c>
      <c r="C25" s="544">
        <v>3220.0175438596493</v>
      </c>
      <c r="D25" s="543">
        <v>57</v>
      </c>
      <c r="E25" s="545" t="s">
        <v>193</v>
      </c>
      <c r="F25" s="543" t="s">
        <v>78</v>
      </c>
      <c r="G25" s="546">
        <v>75000</v>
      </c>
      <c r="H25" s="547">
        <v>3220</v>
      </c>
    </row>
    <row r="26" spans="1:8" ht="19.5" thickBot="1">
      <c r="A26" s="556">
        <v>3220</v>
      </c>
      <c r="B26" s="557" t="s">
        <v>191</v>
      </c>
      <c r="C26" s="558">
        <v>3220.0344827586205</v>
      </c>
      <c r="D26" s="557">
        <v>58</v>
      </c>
      <c r="E26" s="559" t="s">
        <v>203</v>
      </c>
      <c r="F26" s="557" t="s">
        <v>78</v>
      </c>
      <c r="G26" s="561">
        <v>14500</v>
      </c>
      <c r="H26" s="562">
        <v>3220</v>
      </c>
    </row>
    <row r="27" spans="1:8" s="440" customFormat="1" ht="19.5" thickBot="1">
      <c r="A27" s="539" t="s">
        <v>4121</v>
      </c>
      <c r="B27" s="540"/>
      <c r="C27" s="540"/>
      <c r="D27" s="540"/>
      <c r="E27" s="540"/>
      <c r="F27" s="540"/>
      <c r="G27" s="540"/>
      <c r="H27" s="541"/>
    </row>
    <row r="28" spans="1:8" ht="19.5" thickBot="1">
      <c r="A28" s="576">
        <v>3405</v>
      </c>
      <c r="B28" s="576" t="s">
        <v>191</v>
      </c>
      <c r="C28" s="577" t="s">
        <v>220</v>
      </c>
      <c r="D28" s="576">
        <v>52</v>
      </c>
      <c r="E28" s="578" t="s">
        <v>221</v>
      </c>
      <c r="F28" s="579" t="s">
        <v>78</v>
      </c>
      <c r="G28" s="580">
        <v>8600</v>
      </c>
      <c r="H28" s="581" t="s">
        <v>2369</v>
      </c>
    </row>
    <row r="29" spans="1:8" ht="19.5" thickBot="1">
      <c r="A29" s="576">
        <v>3413</v>
      </c>
      <c r="B29" s="576" t="s">
        <v>191</v>
      </c>
      <c r="C29" s="577" t="s">
        <v>226</v>
      </c>
      <c r="D29" s="576">
        <v>52</v>
      </c>
      <c r="E29" s="578" t="s">
        <v>227</v>
      </c>
      <c r="F29" s="579" t="s">
        <v>78</v>
      </c>
      <c r="G29" s="580">
        <v>15000</v>
      </c>
      <c r="H29" s="581" t="s">
        <v>2371</v>
      </c>
    </row>
    <row r="30" spans="1:8" ht="19.5" thickBot="1">
      <c r="A30" s="576">
        <v>3416</v>
      </c>
      <c r="B30" s="576" t="s">
        <v>157</v>
      </c>
      <c r="C30" s="577" t="s">
        <v>232</v>
      </c>
      <c r="D30" s="576">
        <v>59</v>
      </c>
      <c r="E30" s="578" t="s">
        <v>233</v>
      </c>
      <c r="F30" s="579" t="s">
        <v>78</v>
      </c>
      <c r="G30" s="580">
        <v>550000</v>
      </c>
      <c r="H30" s="581" t="s">
        <v>2374</v>
      </c>
    </row>
    <row r="31" spans="1:8" ht="19.5" thickBot="1">
      <c r="A31" s="576">
        <v>3431</v>
      </c>
      <c r="B31" s="576" t="s">
        <v>63</v>
      </c>
      <c r="C31" s="577" t="s">
        <v>237</v>
      </c>
      <c r="D31" s="576">
        <v>53</v>
      </c>
      <c r="E31" s="578" t="s">
        <v>239</v>
      </c>
      <c r="F31" s="579" t="s">
        <v>78</v>
      </c>
      <c r="G31" s="580">
        <v>175000</v>
      </c>
      <c r="H31" s="581" t="s">
        <v>2377</v>
      </c>
    </row>
    <row r="32" spans="1:8" ht="19.5" thickBot="1">
      <c r="A32" s="576">
        <v>3431</v>
      </c>
      <c r="B32" s="576" t="s">
        <v>157</v>
      </c>
      <c r="C32" s="577" t="s">
        <v>243</v>
      </c>
      <c r="D32" s="576">
        <v>55</v>
      </c>
      <c r="E32" s="578" t="s">
        <v>244</v>
      </c>
      <c r="F32" s="579" t="s">
        <v>78</v>
      </c>
      <c r="G32" s="580">
        <v>35000</v>
      </c>
      <c r="H32" s="581" t="s">
        <v>2377</v>
      </c>
    </row>
    <row r="33" spans="1:8" ht="19.5" thickBot="1">
      <c r="A33" s="576">
        <v>3431</v>
      </c>
      <c r="B33" s="576" t="s">
        <v>157</v>
      </c>
      <c r="C33" s="577" t="s">
        <v>248</v>
      </c>
      <c r="D33" s="576">
        <v>54</v>
      </c>
      <c r="E33" s="578" t="s">
        <v>250</v>
      </c>
      <c r="F33" s="579" t="s">
        <v>78</v>
      </c>
      <c r="G33" s="580">
        <v>14000</v>
      </c>
      <c r="H33" s="581" t="s">
        <v>2377</v>
      </c>
    </row>
    <row r="34" spans="1:8" ht="19.5" thickBot="1">
      <c r="A34" s="576">
        <v>3432</v>
      </c>
      <c r="B34" s="576" t="s">
        <v>256</v>
      </c>
      <c r="C34" s="577" t="s">
        <v>263</v>
      </c>
      <c r="D34" s="576">
        <v>56</v>
      </c>
      <c r="E34" s="578" t="s">
        <v>265</v>
      </c>
      <c r="F34" s="579" t="s">
        <v>78</v>
      </c>
      <c r="G34" s="580">
        <v>100000</v>
      </c>
      <c r="H34" s="581" t="s">
        <v>2378</v>
      </c>
    </row>
    <row r="35" spans="1:8" ht="19.5" thickBot="1">
      <c r="A35" s="576">
        <v>3432</v>
      </c>
      <c r="B35" s="576" t="s">
        <v>256</v>
      </c>
      <c r="C35" s="577" t="s">
        <v>257</v>
      </c>
      <c r="D35" s="576">
        <v>54</v>
      </c>
      <c r="E35" s="578" t="s">
        <v>258</v>
      </c>
      <c r="F35" s="579" t="s">
        <v>78</v>
      </c>
      <c r="G35" s="580">
        <v>220000</v>
      </c>
      <c r="H35" s="581" t="s">
        <v>2378</v>
      </c>
    </row>
    <row r="36" spans="1:8" ht="19.5" thickBot="1">
      <c r="A36" s="576">
        <v>3433</v>
      </c>
      <c r="B36" s="576" t="s">
        <v>157</v>
      </c>
      <c r="C36" s="577" t="s">
        <v>270</v>
      </c>
      <c r="D36" s="576">
        <v>54</v>
      </c>
      <c r="E36" s="578" t="s">
        <v>272</v>
      </c>
      <c r="F36" s="579" t="s">
        <v>78</v>
      </c>
      <c r="G36" s="580">
        <v>9500</v>
      </c>
      <c r="H36" s="581" t="s">
        <v>2379</v>
      </c>
    </row>
    <row r="37" spans="1:8" ht="19.5" thickBot="1">
      <c r="A37" s="576">
        <v>3433</v>
      </c>
      <c r="B37" s="576" t="s">
        <v>157</v>
      </c>
      <c r="C37" s="577" t="s">
        <v>278</v>
      </c>
      <c r="D37" s="576">
        <v>53</v>
      </c>
      <c r="E37" s="578" t="s">
        <v>279</v>
      </c>
      <c r="F37" s="579" t="s">
        <v>53</v>
      </c>
      <c r="G37" s="580">
        <v>26500</v>
      </c>
      <c r="H37" s="581" t="s">
        <v>2379</v>
      </c>
    </row>
    <row r="38" spans="1:8" ht="19.5" thickBot="1">
      <c r="A38" s="576">
        <v>3442</v>
      </c>
      <c r="B38" s="576" t="s">
        <v>63</v>
      </c>
      <c r="C38" s="577" t="s">
        <v>284</v>
      </c>
      <c r="D38" s="576">
        <v>58</v>
      </c>
      <c r="E38" s="578" t="s">
        <v>285</v>
      </c>
      <c r="F38" s="579" t="s">
        <v>78</v>
      </c>
      <c r="G38" s="580">
        <v>200000</v>
      </c>
      <c r="H38" s="581" t="s">
        <v>2380</v>
      </c>
    </row>
    <row r="39" spans="1:8" ht="19.5" thickBot="1">
      <c r="A39" s="539" t="s">
        <v>4122</v>
      </c>
      <c r="B39" s="540"/>
      <c r="C39" s="540"/>
      <c r="D39" s="540"/>
      <c r="E39" s="540"/>
      <c r="F39" s="540"/>
      <c r="G39" s="540"/>
      <c r="H39" s="541"/>
    </row>
    <row r="40" spans="1:8" ht="19.5" thickBot="1">
      <c r="A40" s="556">
        <v>3750</v>
      </c>
      <c r="B40" s="557" t="s">
        <v>256</v>
      </c>
      <c r="C40" s="558">
        <v>3750.0163934426228</v>
      </c>
      <c r="D40" s="557">
        <v>61</v>
      </c>
      <c r="E40" s="559" t="s">
        <v>152</v>
      </c>
      <c r="F40" s="557" t="s">
        <v>78</v>
      </c>
      <c r="G40" s="561">
        <v>9500</v>
      </c>
      <c r="H40" s="562">
        <v>3750</v>
      </c>
    </row>
    <row r="41" spans="1:8" ht="19.5" thickBot="1">
      <c r="A41" s="569">
        <v>3750</v>
      </c>
      <c r="B41" s="570" t="s">
        <v>256</v>
      </c>
      <c r="C41" s="571">
        <v>3750.0377358490564</v>
      </c>
      <c r="D41" s="570">
        <v>53</v>
      </c>
      <c r="E41" s="572" t="s">
        <v>161</v>
      </c>
      <c r="F41" s="570" t="s">
        <v>78</v>
      </c>
      <c r="G41" s="573">
        <v>13000</v>
      </c>
      <c r="H41" s="574">
        <v>3750</v>
      </c>
    </row>
    <row r="42" spans="1:8" ht="19.5" thickBot="1">
      <c r="A42" s="548">
        <v>3750</v>
      </c>
      <c r="B42" s="549" t="s">
        <v>256</v>
      </c>
      <c r="C42" s="550">
        <v>3750.016129032258</v>
      </c>
      <c r="D42" s="549">
        <v>62</v>
      </c>
      <c r="E42" s="551" t="s">
        <v>165</v>
      </c>
      <c r="F42" s="549" t="s">
        <v>78</v>
      </c>
      <c r="G42" s="582">
        <v>182000</v>
      </c>
      <c r="H42" s="553">
        <v>3750</v>
      </c>
    </row>
    <row r="43" spans="1:8" ht="19.5" thickBot="1">
      <c r="A43" s="583">
        <v>3750</v>
      </c>
      <c r="B43" s="584" t="s">
        <v>256</v>
      </c>
      <c r="C43" s="585">
        <v>3750.0322580645161</v>
      </c>
      <c r="D43" s="584">
        <v>62</v>
      </c>
      <c r="E43" s="586" t="s">
        <v>167</v>
      </c>
      <c r="F43" s="584" t="s">
        <v>78</v>
      </c>
      <c r="G43" s="587">
        <v>12000</v>
      </c>
      <c r="H43" s="588">
        <v>3750</v>
      </c>
    </row>
    <row r="44" spans="1:8" ht="19.5" thickBot="1">
      <c r="A44" s="589">
        <v>3750</v>
      </c>
      <c r="B44" s="590" t="s">
        <v>256</v>
      </c>
      <c r="C44" s="591">
        <v>3750.0172413793102</v>
      </c>
      <c r="D44" s="590">
        <v>58</v>
      </c>
      <c r="E44" s="592" t="s">
        <v>320</v>
      </c>
      <c r="F44" s="590" t="s">
        <v>78</v>
      </c>
      <c r="G44" s="593">
        <v>180000</v>
      </c>
      <c r="H44" s="594">
        <v>3750</v>
      </c>
    </row>
    <row r="45" spans="1:8" ht="38.25" thickBot="1">
      <c r="A45" s="537" t="s">
        <v>10</v>
      </c>
      <c r="B45" s="537" t="s">
        <v>2</v>
      </c>
      <c r="C45" s="537" t="s">
        <v>3</v>
      </c>
      <c r="D45" s="537" t="s">
        <v>4</v>
      </c>
      <c r="E45" s="537" t="s">
        <v>2754</v>
      </c>
      <c r="F45" s="538" t="s">
        <v>3600</v>
      </c>
      <c r="G45" s="538" t="s">
        <v>7</v>
      </c>
      <c r="H45" s="538" t="s">
        <v>8</v>
      </c>
    </row>
    <row r="46" spans="1:8" ht="19.5" thickBot="1">
      <c r="A46" s="556">
        <v>3750</v>
      </c>
      <c r="B46" s="557" t="s">
        <v>63</v>
      </c>
      <c r="C46" s="558">
        <v>3750.0181818181818</v>
      </c>
      <c r="D46" s="557">
        <v>55</v>
      </c>
      <c r="E46" s="559" t="s">
        <v>326</v>
      </c>
      <c r="F46" s="557" t="s">
        <v>53</v>
      </c>
      <c r="G46" s="561">
        <v>750000</v>
      </c>
      <c r="H46" s="562">
        <v>3750</v>
      </c>
    </row>
    <row r="47" spans="1:8" ht="19.5" thickBot="1">
      <c r="A47" s="539" t="s">
        <v>4123</v>
      </c>
      <c r="B47" s="540"/>
      <c r="C47" s="540"/>
      <c r="D47" s="540"/>
      <c r="E47" s="540"/>
      <c r="F47" s="540"/>
      <c r="G47" s="540"/>
      <c r="H47" s="541"/>
    </row>
    <row r="48" spans="1:8" ht="19.5" thickBot="1">
      <c r="A48" s="548">
        <v>3805</v>
      </c>
      <c r="B48" s="549" t="s">
        <v>63</v>
      </c>
      <c r="C48" s="550">
        <v>3805.0166666666669</v>
      </c>
      <c r="D48" s="549">
        <v>60</v>
      </c>
      <c r="E48" s="551" t="s">
        <v>4246</v>
      </c>
      <c r="F48" s="549" t="s">
        <v>28</v>
      </c>
      <c r="G48" s="552">
        <v>2500000</v>
      </c>
      <c r="H48" s="553">
        <v>3805</v>
      </c>
    </row>
    <row r="49" spans="1:8" ht="19.5" thickBot="1">
      <c r="A49" s="548">
        <v>3805</v>
      </c>
      <c r="B49" s="549" t="s">
        <v>63</v>
      </c>
      <c r="C49" s="550">
        <v>3805.0350877192982</v>
      </c>
      <c r="D49" s="549">
        <v>57</v>
      </c>
      <c r="E49" s="551" t="s">
        <v>351</v>
      </c>
      <c r="F49" s="549" t="s">
        <v>28</v>
      </c>
      <c r="G49" s="582">
        <v>5000000</v>
      </c>
      <c r="H49" s="553">
        <v>3805</v>
      </c>
    </row>
    <row r="50" spans="1:8" ht="19.5" thickBot="1">
      <c r="A50" s="548">
        <v>3805</v>
      </c>
      <c r="B50" s="549" t="s">
        <v>63</v>
      </c>
      <c r="C50" s="550">
        <v>3805.0169491525426</v>
      </c>
      <c r="D50" s="549">
        <v>59</v>
      </c>
      <c r="E50" s="551" t="s">
        <v>360</v>
      </c>
      <c r="F50" s="549" t="s">
        <v>28</v>
      </c>
      <c r="G50" s="552">
        <v>4500000</v>
      </c>
      <c r="H50" s="553">
        <v>3805</v>
      </c>
    </row>
    <row r="51" spans="1:8" ht="19.5" thickBot="1">
      <c r="A51" s="548">
        <v>3805</v>
      </c>
      <c r="B51" s="549" t="s">
        <v>63</v>
      </c>
      <c r="C51" s="550">
        <v>3805.0322580645161</v>
      </c>
      <c r="D51" s="549">
        <v>62</v>
      </c>
      <c r="E51" s="551" t="s">
        <v>4247</v>
      </c>
      <c r="F51" s="549" t="s">
        <v>28</v>
      </c>
      <c r="G51" s="582">
        <v>3300000</v>
      </c>
      <c r="H51" s="553">
        <v>3805</v>
      </c>
    </row>
    <row r="52" spans="1:8" ht="19.5" thickBot="1">
      <c r="A52" s="548">
        <v>3805</v>
      </c>
      <c r="B52" s="549" t="s">
        <v>63</v>
      </c>
      <c r="C52" s="550">
        <v>3805.016129032258</v>
      </c>
      <c r="D52" s="549">
        <v>62</v>
      </c>
      <c r="E52" s="551" t="s">
        <v>366</v>
      </c>
      <c r="F52" s="549" t="s">
        <v>28</v>
      </c>
      <c r="G52" s="552">
        <v>3800000</v>
      </c>
      <c r="H52" s="553">
        <v>3805</v>
      </c>
    </row>
    <row r="53" spans="1:8" ht="19.5" thickBot="1">
      <c r="A53" s="576">
        <v>3820</v>
      </c>
      <c r="B53" s="576" t="s">
        <v>372</v>
      </c>
      <c r="C53" s="577" t="s">
        <v>375</v>
      </c>
      <c r="D53" s="576">
        <v>61</v>
      </c>
      <c r="E53" s="578" t="s">
        <v>376</v>
      </c>
      <c r="F53" s="579" t="s">
        <v>78</v>
      </c>
      <c r="G53" s="580">
        <v>580000</v>
      </c>
      <c r="H53" s="581" t="s">
        <v>2393</v>
      </c>
    </row>
    <row r="54" spans="1:8" ht="19.5" thickBot="1">
      <c r="A54" s="576">
        <v>3820</v>
      </c>
      <c r="B54" s="576" t="s">
        <v>372</v>
      </c>
      <c r="C54" s="577" t="s">
        <v>387</v>
      </c>
      <c r="D54" s="576">
        <v>61</v>
      </c>
      <c r="E54" s="578" t="s">
        <v>388</v>
      </c>
      <c r="F54" s="579" t="s">
        <v>78</v>
      </c>
      <c r="G54" s="580">
        <v>80000</v>
      </c>
      <c r="H54" s="581" t="s">
        <v>2393</v>
      </c>
    </row>
    <row r="55" spans="1:8" ht="19.5" thickBot="1">
      <c r="A55" s="576">
        <v>3820</v>
      </c>
      <c r="B55" s="576" t="s">
        <v>372</v>
      </c>
      <c r="C55" s="577" t="s">
        <v>392</v>
      </c>
      <c r="D55" s="576">
        <v>55</v>
      </c>
      <c r="E55" s="578" t="s">
        <v>393</v>
      </c>
      <c r="F55" s="579" t="s">
        <v>78</v>
      </c>
      <c r="G55" s="580">
        <v>300000</v>
      </c>
      <c r="H55" s="581" t="s">
        <v>2393</v>
      </c>
    </row>
    <row r="56" spans="1:8" ht="19.5" thickBot="1">
      <c r="A56" s="576">
        <v>3825</v>
      </c>
      <c r="B56" s="576" t="s">
        <v>63</v>
      </c>
      <c r="C56" s="577" t="s">
        <v>401</v>
      </c>
      <c r="D56" s="576">
        <v>53</v>
      </c>
      <c r="E56" s="578" t="s">
        <v>403</v>
      </c>
      <c r="F56" s="579" t="s">
        <v>78</v>
      </c>
      <c r="G56" s="580">
        <v>270000</v>
      </c>
      <c r="H56" s="581" t="s">
        <v>2394</v>
      </c>
    </row>
    <row r="57" spans="1:8" ht="19.5" thickBot="1">
      <c r="A57" s="576">
        <v>3825</v>
      </c>
      <c r="B57" s="576" t="s">
        <v>63</v>
      </c>
      <c r="C57" s="577" t="s">
        <v>4183</v>
      </c>
      <c r="D57" s="576">
        <v>62</v>
      </c>
      <c r="E57" s="578" t="s">
        <v>4184</v>
      </c>
      <c r="F57" s="579" t="s">
        <v>28</v>
      </c>
      <c r="G57" s="580">
        <v>1900000</v>
      </c>
      <c r="H57" s="595">
        <v>3825</v>
      </c>
    </row>
    <row r="58" spans="1:8" ht="19.5" thickBot="1">
      <c r="A58" s="576">
        <v>3825</v>
      </c>
      <c r="B58" s="576" t="s">
        <v>63</v>
      </c>
      <c r="C58" s="577" t="s">
        <v>4254</v>
      </c>
      <c r="D58" s="576">
        <v>59</v>
      </c>
      <c r="E58" s="578" t="s">
        <v>3350</v>
      </c>
      <c r="F58" s="579" t="s">
        <v>28</v>
      </c>
      <c r="G58" s="580">
        <v>10000000</v>
      </c>
      <c r="H58" s="581" t="s">
        <v>2394</v>
      </c>
    </row>
    <row r="59" spans="1:8" ht="19.5" thickBot="1">
      <c r="A59" s="576">
        <v>3825</v>
      </c>
      <c r="B59" s="576" t="s">
        <v>63</v>
      </c>
      <c r="C59" s="577" t="s">
        <v>4160</v>
      </c>
      <c r="D59" s="576">
        <v>59</v>
      </c>
      <c r="E59" s="578" t="s">
        <v>413</v>
      </c>
      <c r="F59" s="579" t="s">
        <v>28</v>
      </c>
      <c r="G59" s="580">
        <v>15500000</v>
      </c>
      <c r="H59" s="581" t="s">
        <v>2394</v>
      </c>
    </row>
    <row r="60" spans="1:8" ht="19.5" thickBot="1">
      <c r="A60" s="576">
        <v>3825</v>
      </c>
      <c r="B60" s="576" t="s">
        <v>63</v>
      </c>
      <c r="C60" s="577" t="s">
        <v>417</v>
      </c>
      <c r="D60" s="576">
        <v>56</v>
      </c>
      <c r="E60" s="578" t="s">
        <v>418</v>
      </c>
      <c r="F60" s="579" t="s">
        <v>28</v>
      </c>
      <c r="G60" s="580">
        <v>345000</v>
      </c>
      <c r="H60" s="581" t="s">
        <v>2394</v>
      </c>
    </row>
    <row r="61" spans="1:8" ht="19.5" thickBot="1">
      <c r="A61" s="576">
        <v>3825</v>
      </c>
      <c r="B61" s="576" t="s">
        <v>63</v>
      </c>
      <c r="C61" s="577" t="s">
        <v>429</v>
      </c>
      <c r="D61" s="576">
        <v>54</v>
      </c>
      <c r="E61" s="578" t="s">
        <v>430</v>
      </c>
      <c r="F61" s="579" t="s">
        <v>28</v>
      </c>
      <c r="G61" s="580">
        <v>2400000</v>
      </c>
      <c r="H61" s="581" t="s">
        <v>2394</v>
      </c>
    </row>
    <row r="62" spans="1:8" ht="19.5" thickBot="1">
      <c r="A62" s="576">
        <v>3895</v>
      </c>
      <c r="B62" s="576" t="s">
        <v>191</v>
      </c>
      <c r="C62" s="577" t="s">
        <v>434</v>
      </c>
      <c r="D62" s="576">
        <v>55</v>
      </c>
      <c r="E62" s="578" t="s">
        <v>435</v>
      </c>
      <c r="F62" s="579" t="s">
        <v>78</v>
      </c>
      <c r="G62" s="580">
        <v>300000</v>
      </c>
      <c r="H62" s="581" t="s">
        <v>2395</v>
      </c>
    </row>
    <row r="63" spans="1:8" ht="19.5" thickBot="1">
      <c r="A63" s="576">
        <v>3895</v>
      </c>
      <c r="B63" s="576" t="s">
        <v>191</v>
      </c>
      <c r="C63" s="577" t="s">
        <v>4264</v>
      </c>
      <c r="D63" s="576">
        <v>55</v>
      </c>
      <c r="E63" s="578" t="s">
        <v>494</v>
      </c>
      <c r="F63" s="579" t="s">
        <v>78</v>
      </c>
      <c r="G63" s="580">
        <v>45000</v>
      </c>
      <c r="H63" s="581" t="s">
        <v>2395</v>
      </c>
    </row>
    <row r="64" spans="1:8" ht="19.5" thickBot="1">
      <c r="A64" s="576">
        <v>3895</v>
      </c>
      <c r="B64" s="576" t="s">
        <v>63</v>
      </c>
      <c r="C64" s="577" t="s">
        <v>4266</v>
      </c>
      <c r="D64" s="576">
        <v>62</v>
      </c>
      <c r="E64" s="578" t="s">
        <v>4265</v>
      </c>
      <c r="F64" s="579" t="s">
        <v>78</v>
      </c>
      <c r="G64" s="580">
        <v>50000</v>
      </c>
      <c r="H64" s="581" t="s">
        <v>2395</v>
      </c>
    </row>
    <row r="65" spans="1:8" ht="38.25" thickBot="1">
      <c r="A65" s="576">
        <v>3895</v>
      </c>
      <c r="B65" s="576" t="s">
        <v>63</v>
      </c>
      <c r="C65" s="577" t="s">
        <v>4185</v>
      </c>
      <c r="D65" s="576">
        <v>62</v>
      </c>
      <c r="E65" s="578" t="s">
        <v>4248</v>
      </c>
      <c r="F65" s="579" t="s">
        <v>78</v>
      </c>
      <c r="G65" s="580">
        <v>14000000</v>
      </c>
      <c r="H65" s="581" t="s">
        <v>2395</v>
      </c>
    </row>
    <row r="66" spans="1:8" ht="19.5" thickBot="1">
      <c r="A66" s="576">
        <v>3895</v>
      </c>
      <c r="B66" s="576" t="s">
        <v>63</v>
      </c>
      <c r="C66" s="577" t="s">
        <v>4255</v>
      </c>
      <c r="D66" s="576">
        <v>62</v>
      </c>
      <c r="E66" s="578" t="s">
        <v>4256</v>
      </c>
      <c r="F66" s="579" t="s">
        <v>78</v>
      </c>
      <c r="G66" s="580">
        <v>8000000</v>
      </c>
      <c r="H66" s="581" t="s">
        <v>2395</v>
      </c>
    </row>
    <row r="67" spans="1:8" ht="19.5" thickBot="1">
      <c r="A67" s="576">
        <v>3895</v>
      </c>
      <c r="B67" s="576" t="s">
        <v>63</v>
      </c>
      <c r="C67" s="577" t="s">
        <v>4257</v>
      </c>
      <c r="D67" s="576">
        <v>62</v>
      </c>
      <c r="E67" s="578" t="s">
        <v>4258</v>
      </c>
      <c r="F67" s="579" t="s">
        <v>78</v>
      </c>
      <c r="G67" s="580">
        <v>14000000</v>
      </c>
      <c r="H67" s="581" t="s">
        <v>2395</v>
      </c>
    </row>
    <row r="68" spans="1:8" ht="19.5" thickBot="1">
      <c r="A68" s="576">
        <v>3895</v>
      </c>
      <c r="B68" s="576" t="s">
        <v>63</v>
      </c>
      <c r="C68" s="577" t="s">
        <v>4187</v>
      </c>
      <c r="D68" s="576">
        <v>62</v>
      </c>
      <c r="E68" s="578" t="s">
        <v>4188</v>
      </c>
      <c r="F68" s="579" t="s">
        <v>28</v>
      </c>
      <c r="G68" s="580">
        <v>3500000</v>
      </c>
      <c r="H68" s="581" t="s">
        <v>2395</v>
      </c>
    </row>
    <row r="69" spans="1:8" ht="19.5" thickBot="1">
      <c r="A69" s="596">
        <v>3895</v>
      </c>
      <c r="B69" s="597" t="s">
        <v>63</v>
      </c>
      <c r="C69" s="677">
        <v>3895.0645161290322</v>
      </c>
      <c r="D69" s="597">
        <v>62</v>
      </c>
      <c r="E69" s="599" t="s">
        <v>4249</v>
      </c>
      <c r="F69" s="597" t="s">
        <v>28</v>
      </c>
      <c r="G69" s="600">
        <v>3000000</v>
      </c>
      <c r="H69" s="601" t="s">
        <v>2395</v>
      </c>
    </row>
    <row r="70" spans="1:8" ht="19.5" thickBot="1">
      <c r="A70" s="602" t="s">
        <v>4124</v>
      </c>
      <c r="B70" s="603"/>
      <c r="C70" s="603"/>
      <c r="D70" s="603"/>
      <c r="E70" s="603"/>
      <c r="F70" s="603"/>
      <c r="G70" s="603"/>
      <c r="H70" s="604"/>
    </row>
    <row r="71" spans="1:8" ht="19.5" thickBot="1">
      <c r="A71" s="576">
        <v>3930</v>
      </c>
      <c r="B71" s="576" t="s">
        <v>63</v>
      </c>
      <c r="C71" s="577" t="s">
        <v>450</v>
      </c>
      <c r="D71" s="576">
        <v>58</v>
      </c>
      <c r="E71" s="578" t="s">
        <v>451</v>
      </c>
      <c r="F71" s="579" t="s">
        <v>28</v>
      </c>
      <c r="G71" s="580">
        <v>1035000</v>
      </c>
      <c r="H71" s="581" t="s">
        <v>2397</v>
      </c>
    </row>
    <row r="72" spans="1:8" ht="19.5" thickBot="1">
      <c r="A72" s="576">
        <v>3930</v>
      </c>
      <c r="B72" s="576" t="s">
        <v>63</v>
      </c>
      <c r="C72" s="577" t="s">
        <v>458</v>
      </c>
      <c r="D72" s="576">
        <v>57</v>
      </c>
      <c r="E72" s="578" t="s">
        <v>459</v>
      </c>
      <c r="F72" s="579" t="s">
        <v>28</v>
      </c>
      <c r="G72" s="580">
        <v>200000</v>
      </c>
      <c r="H72" s="581">
        <v>3930</v>
      </c>
    </row>
    <row r="73" spans="1:8" ht="19.5" thickBot="1">
      <c r="A73" s="576">
        <v>3930</v>
      </c>
      <c r="B73" s="576" t="s">
        <v>63</v>
      </c>
      <c r="C73" s="577" t="s">
        <v>471</v>
      </c>
      <c r="D73" s="576">
        <v>59</v>
      </c>
      <c r="E73" s="578" t="s">
        <v>473</v>
      </c>
      <c r="F73" s="579" t="s">
        <v>28</v>
      </c>
      <c r="G73" s="580">
        <v>760000</v>
      </c>
      <c r="H73" s="581" t="s">
        <v>2397</v>
      </c>
    </row>
    <row r="74" spans="1:8" ht="19.5" thickBot="1">
      <c r="A74" s="576">
        <v>3930</v>
      </c>
      <c r="B74" s="576" t="s">
        <v>63</v>
      </c>
      <c r="C74" s="577" t="s">
        <v>478</v>
      </c>
      <c r="D74" s="576">
        <v>57</v>
      </c>
      <c r="E74" s="578" t="s">
        <v>479</v>
      </c>
      <c r="F74" s="579" t="s">
        <v>28</v>
      </c>
      <c r="G74" s="580">
        <v>960000</v>
      </c>
      <c r="H74" s="581" t="s">
        <v>2397</v>
      </c>
    </row>
    <row r="75" spans="1:8" ht="24" customHeight="1" thickBot="1">
      <c r="A75" s="576">
        <v>3930</v>
      </c>
      <c r="B75" s="576" t="s">
        <v>63</v>
      </c>
      <c r="C75" s="577" t="s">
        <v>466</v>
      </c>
      <c r="D75" s="576">
        <v>60</v>
      </c>
      <c r="E75" s="578" t="s">
        <v>467</v>
      </c>
      <c r="F75" s="579" t="s">
        <v>28</v>
      </c>
      <c r="G75" s="580">
        <v>1800000</v>
      </c>
      <c r="H75" s="581" t="s">
        <v>2397</v>
      </c>
    </row>
    <row r="76" spans="1:8" ht="19.5" thickBot="1">
      <c r="A76" s="576">
        <v>3930</v>
      </c>
      <c r="B76" s="576" t="s">
        <v>63</v>
      </c>
      <c r="C76" s="577" t="s">
        <v>489</v>
      </c>
      <c r="D76" s="576">
        <v>58</v>
      </c>
      <c r="E76" s="578" t="s">
        <v>490</v>
      </c>
      <c r="F76" s="579" t="s">
        <v>28</v>
      </c>
      <c r="G76" s="580">
        <v>760000</v>
      </c>
      <c r="H76" s="581" t="s">
        <v>2397</v>
      </c>
    </row>
    <row r="77" spans="1:8" ht="19.5" thickBot="1">
      <c r="A77" s="576">
        <v>3930</v>
      </c>
      <c r="B77" s="576" t="s">
        <v>63</v>
      </c>
      <c r="C77" s="577" t="s">
        <v>496</v>
      </c>
      <c r="D77" s="576">
        <v>54</v>
      </c>
      <c r="E77" s="578" t="s">
        <v>498</v>
      </c>
      <c r="F77" s="579" t="s">
        <v>28</v>
      </c>
      <c r="G77" s="580">
        <v>1200000</v>
      </c>
      <c r="H77" s="581" t="s">
        <v>2397</v>
      </c>
    </row>
    <row r="78" spans="1:8" ht="24.75" customHeight="1" thickBot="1">
      <c r="A78" s="576">
        <v>3930</v>
      </c>
      <c r="B78" s="576" t="s">
        <v>157</v>
      </c>
      <c r="C78" s="577" t="s">
        <v>503</v>
      </c>
      <c r="D78" s="576">
        <v>62</v>
      </c>
      <c r="E78" s="578" t="s">
        <v>504</v>
      </c>
      <c r="F78" s="579" t="s">
        <v>28</v>
      </c>
      <c r="G78" s="580">
        <v>590000</v>
      </c>
      <c r="H78" s="581" t="s">
        <v>2397</v>
      </c>
    </row>
    <row r="79" spans="1:8" ht="19.5" thickBot="1">
      <c r="A79" s="576">
        <v>3930</v>
      </c>
      <c r="B79" s="576" t="s">
        <v>63</v>
      </c>
      <c r="C79" s="577" t="s">
        <v>511</v>
      </c>
      <c r="D79" s="576">
        <v>55</v>
      </c>
      <c r="E79" s="578" t="s">
        <v>512</v>
      </c>
      <c r="F79" s="579" t="s">
        <v>28</v>
      </c>
      <c r="G79" s="580">
        <v>1100000</v>
      </c>
      <c r="H79" s="581" t="s">
        <v>2397</v>
      </c>
    </row>
    <row r="80" spans="1:8" ht="19.5" thickBot="1">
      <c r="A80" s="576">
        <v>3930</v>
      </c>
      <c r="B80" s="576" t="s">
        <v>63</v>
      </c>
      <c r="C80" s="577" t="s">
        <v>515</v>
      </c>
      <c r="D80" s="576">
        <v>58</v>
      </c>
      <c r="E80" s="578" t="s">
        <v>516</v>
      </c>
      <c r="F80" s="579" t="s">
        <v>28</v>
      </c>
      <c r="G80" s="580">
        <v>1330000</v>
      </c>
      <c r="H80" s="581" t="s">
        <v>2397</v>
      </c>
    </row>
    <row r="81" spans="1:8" ht="19.5" thickBot="1">
      <c r="A81" s="576">
        <v>3940</v>
      </c>
      <c r="B81" s="576" t="s">
        <v>157</v>
      </c>
      <c r="C81" s="577" t="s">
        <v>4267</v>
      </c>
      <c r="D81" s="576">
        <v>62</v>
      </c>
      <c r="E81" s="578" t="s">
        <v>4268</v>
      </c>
      <c r="F81" s="579" t="s">
        <v>78</v>
      </c>
      <c r="G81" s="580">
        <v>18000</v>
      </c>
      <c r="H81" s="581" t="s">
        <v>2398</v>
      </c>
    </row>
    <row r="82" spans="1:8" ht="19.5" thickBot="1">
      <c r="A82" s="576">
        <v>3940</v>
      </c>
      <c r="B82" s="576" t="s">
        <v>157</v>
      </c>
      <c r="C82" s="577" t="s">
        <v>519</v>
      </c>
      <c r="D82" s="576">
        <v>53</v>
      </c>
      <c r="E82" s="578" t="s">
        <v>520</v>
      </c>
      <c r="F82" s="579" t="s">
        <v>48</v>
      </c>
      <c r="G82" s="580">
        <v>4500</v>
      </c>
      <c r="H82" s="581" t="s">
        <v>2398</v>
      </c>
    </row>
    <row r="83" spans="1:8" ht="19.5" thickBot="1">
      <c r="A83" s="576">
        <v>3940</v>
      </c>
      <c r="B83" s="576" t="s">
        <v>157</v>
      </c>
      <c r="C83" s="577" t="s">
        <v>525</v>
      </c>
      <c r="D83" s="576">
        <v>58</v>
      </c>
      <c r="E83" s="578" t="s">
        <v>526</v>
      </c>
      <c r="F83" s="579" t="s">
        <v>48</v>
      </c>
      <c r="G83" s="580">
        <v>13000</v>
      </c>
      <c r="H83" s="581" t="s">
        <v>2398</v>
      </c>
    </row>
    <row r="84" spans="1:8" ht="19.5" thickBot="1">
      <c r="A84" s="576">
        <v>3940</v>
      </c>
      <c r="B84" s="576" t="s">
        <v>157</v>
      </c>
      <c r="C84" s="577" t="s">
        <v>535</v>
      </c>
      <c r="D84" s="576">
        <v>55</v>
      </c>
      <c r="E84" s="578" t="s">
        <v>536</v>
      </c>
      <c r="F84" s="579" t="s">
        <v>48</v>
      </c>
      <c r="G84" s="580">
        <v>35000</v>
      </c>
      <c r="H84" s="581" t="s">
        <v>2398</v>
      </c>
    </row>
    <row r="85" spans="1:8" ht="19.5" thickBot="1">
      <c r="A85" s="576">
        <v>3940</v>
      </c>
      <c r="B85" s="576" t="s">
        <v>37</v>
      </c>
      <c r="C85" s="577" t="s">
        <v>529</v>
      </c>
      <c r="D85" s="576">
        <v>55</v>
      </c>
      <c r="E85" s="578" t="s">
        <v>531</v>
      </c>
      <c r="F85" s="579" t="s">
        <v>53</v>
      </c>
      <c r="G85" s="580">
        <v>12500</v>
      </c>
      <c r="H85" s="581" t="s">
        <v>2398</v>
      </c>
    </row>
    <row r="86" spans="1:8" ht="41.25" customHeight="1" thickBot="1">
      <c r="A86" s="576">
        <v>3950</v>
      </c>
      <c r="B86" s="576" t="s">
        <v>372</v>
      </c>
      <c r="C86" s="577" t="s">
        <v>542</v>
      </c>
      <c r="D86" s="576">
        <v>58</v>
      </c>
      <c r="E86" s="578" t="s">
        <v>543</v>
      </c>
      <c r="F86" s="579" t="s">
        <v>78</v>
      </c>
      <c r="G86" s="580">
        <v>8000000</v>
      </c>
      <c r="H86" s="581" t="s">
        <v>2399</v>
      </c>
    </row>
    <row r="87" spans="1:8" ht="22.5" customHeight="1" thickBot="1">
      <c r="A87" s="602" t="s">
        <v>4125</v>
      </c>
      <c r="B87" s="603"/>
      <c r="C87" s="603"/>
      <c r="D87" s="603"/>
      <c r="E87" s="603"/>
      <c r="F87" s="603"/>
      <c r="G87" s="603"/>
      <c r="H87" s="604"/>
    </row>
    <row r="88" spans="1:8" ht="19.5" thickBot="1">
      <c r="A88" s="576">
        <v>4120</v>
      </c>
      <c r="B88" s="576" t="s">
        <v>157</v>
      </c>
      <c r="C88" s="577" t="s">
        <v>571</v>
      </c>
      <c r="D88" s="576">
        <v>62</v>
      </c>
      <c r="E88" s="578" t="s">
        <v>573</v>
      </c>
      <c r="F88" s="579" t="s">
        <v>78</v>
      </c>
      <c r="G88" s="580">
        <v>4500000</v>
      </c>
      <c r="H88" s="581" t="s">
        <v>2403</v>
      </c>
    </row>
    <row r="89" spans="1:8" ht="19.5" thickBot="1">
      <c r="A89" s="576">
        <v>4120</v>
      </c>
      <c r="B89" s="576" t="s">
        <v>157</v>
      </c>
      <c r="C89" s="577" t="s">
        <v>558</v>
      </c>
      <c r="D89" s="576">
        <v>62</v>
      </c>
      <c r="E89" s="578" t="s">
        <v>559</v>
      </c>
      <c r="F89" s="579" t="s">
        <v>78</v>
      </c>
      <c r="G89" s="580">
        <v>6700000</v>
      </c>
      <c r="H89" s="581" t="s">
        <v>2403</v>
      </c>
    </row>
    <row r="90" spans="1:8" ht="38.25" thickBot="1">
      <c r="A90" s="537" t="s">
        <v>10</v>
      </c>
      <c r="B90" s="537" t="s">
        <v>2</v>
      </c>
      <c r="C90" s="537" t="s">
        <v>3</v>
      </c>
      <c r="D90" s="537" t="s">
        <v>4</v>
      </c>
      <c r="E90" s="537" t="s">
        <v>2754</v>
      </c>
      <c r="F90" s="538" t="s">
        <v>3600</v>
      </c>
      <c r="G90" s="538" t="s">
        <v>7</v>
      </c>
      <c r="H90" s="538" t="s">
        <v>8</v>
      </c>
    </row>
    <row r="91" spans="1:8" ht="19.5" thickBot="1">
      <c r="A91" s="576">
        <v>4120</v>
      </c>
      <c r="B91" s="576" t="s">
        <v>372</v>
      </c>
      <c r="C91" s="577" t="s">
        <v>566</v>
      </c>
      <c r="D91" s="576">
        <v>60</v>
      </c>
      <c r="E91" s="578" t="s">
        <v>567</v>
      </c>
      <c r="F91" s="579" t="s">
        <v>78</v>
      </c>
      <c r="G91" s="580">
        <v>11000000</v>
      </c>
      <c r="H91" s="581" t="s">
        <v>2403</v>
      </c>
    </row>
    <row r="92" spans="1:8" ht="38.25" thickBot="1">
      <c r="A92" s="576">
        <v>4120</v>
      </c>
      <c r="B92" s="576" t="s">
        <v>157</v>
      </c>
      <c r="C92" s="577" t="s">
        <v>577</v>
      </c>
      <c r="D92" s="576">
        <v>61</v>
      </c>
      <c r="E92" s="578" t="s">
        <v>578</v>
      </c>
      <c r="F92" s="579" t="s">
        <v>78</v>
      </c>
      <c r="G92" s="580">
        <v>2000000</v>
      </c>
      <c r="H92" s="581" t="s">
        <v>2403</v>
      </c>
    </row>
    <row r="93" spans="1:8" ht="38.25" thickBot="1">
      <c r="A93" s="576">
        <v>4120</v>
      </c>
      <c r="B93" s="576" t="s">
        <v>157</v>
      </c>
      <c r="C93" s="577" t="s">
        <v>583</v>
      </c>
      <c r="D93" s="576">
        <v>59</v>
      </c>
      <c r="E93" s="578" t="s">
        <v>584</v>
      </c>
      <c r="F93" s="579" t="s">
        <v>78</v>
      </c>
      <c r="G93" s="580">
        <v>2500000</v>
      </c>
      <c r="H93" s="581" t="s">
        <v>2403</v>
      </c>
    </row>
    <row r="94" spans="1:8" ht="19.5" thickBot="1">
      <c r="A94" s="576">
        <v>4120</v>
      </c>
      <c r="B94" s="576" t="s">
        <v>157</v>
      </c>
      <c r="C94" s="577" t="s">
        <v>606</v>
      </c>
      <c r="D94" s="576">
        <v>58</v>
      </c>
      <c r="E94" s="578" t="s">
        <v>607</v>
      </c>
      <c r="F94" s="579" t="s">
        <v>78</v>
      </c>
      <c r="G94" s="580">
        <v>105000</v>
      </c>
      <c r="H94" s="581" t="s">
        <v>2403</v>
      </c>
    </row>
    <row r="95" spans="1:8" ht="19.5" thickBot="1">
      <c r="A95" s="576">
        <v>4120</v>
      </c>
      <c r="B95" s="576" t="s">
        <v>157</v>
      </c>
      <c r="C95" s="577" t="s">
        <v>613</v>
      </c>
      <c r="D95" s="576">
        <v>58</v>
      </c>
      <c r="E95" s="578" t="s">
        <v>614</v>
      </c>
      <c r="F95" s="579" t="s">
        <v>78</v>
      </c>
      <c r="G95" s="580">
        <v>195000</v>
      </c>
      <c r="H95" s="581" t="s">
        <v>2403</v>
      </c>
    </row>
    <row r="96" spans="1:8" ht="19.5" thickBot="1">
      <c r="A96" s="576">
        <v>4120</v>
      </c>
      <c r="B96" s="576" t="s">
        <v>157</v>
      </c>
      <c r="C96" s="577" t="s">
        <v>589</v>
      </c>
      <c r="D96" s="576">
        <v>58</v>
      </c>
      <c r="E96" s="578" t="s">
        <v>591</v>
      </c>
      <c r="F96" s="579" t="s">
        <v>78</v>
      </c>
      <c r="G96" s="580">
        <v>220000</v>
      </c>
      <c r="H96" s="581" t="s">
        <v>2403</v>
      </c>
    </row>
    <row r="97" spans="1:8" ht="19.5" thickBot="1">
      <c r="A97" s="576">
        <v>4120</v>
      </c>
      <c r="B97" s="576" t="s">
        <v>157</v>
      </c>
      <c r="C97" s="577" t="s">
        <v>594</v>
      </c>
      <c r="D97" s="576">
        <v>60</v>
      </c>
      <c r="E97" s="578" t="s">
        <v>595</v>
      </c>
      <c r="F97" s="579" t="s">
        <v>78</v>
      </c>
      <c r="G97" s="580">
        <v>320000</v>
      </c>
      <c r="H97" s="581" t="s">
        <v>2403</v>
      </c>
    </row>
    <row r="98" spans="1:8" ht="19.5" thickBot="1">
      <c r="A98" s="576">
        <v>4120</v>
      </c>
      <c r="B98" s="576" t="s">
        <v>157</v>
      </c>
      <c r="C98" s="577" t="s">
        <v>600</v>
      </c>
      <c r="D98" s="576">
        <v>58</v>
      </c>
      <c r="E98" s="578" t="s">
        <v>601</v>
      </c>
      <c r="F98" s="579" t="s">
        <v>78</v>
      </c>
      <c r="G98" s="580">
        <v>520000</v>
      </c>
      <c r="H98" s="581" t="s">
        <v>2403</v>
      </c>
    </row>
    <row r="99" spans="1:8" ht="19.5" thickBot="1">
      <c r="A99" s="576">
        <v>4120</v>
      </c>
      <c r="B99" s="576" t="s">
        <v>157</v>
      </c>
      <c r="C99" s="577" t="s">
        <v>618</v>
      </c>
      <c r="D99" s="576">
        <v>59</v>
      </c>
      <c r="E99" s="578" t="s">
        <v>619</v>
      </c>
      <c r="F99" s="579" t="s">
        <v>78</v>
      </c>
      <c r="G99" s="580">
        <v>70000</v>
      </c>
      <c r="H99" s="581" t="s">
        <v>2403</v>
      </c>
    </row>
    <row r="100" spans="1:8" ht="19.5" thickBot="1">
      <c r="A100" s="576">
        <v>4120</v>
      </c>
      <c r="B100" s="576" t="s">
        <v>157</v>
      </c>
      <c r="C100" s="577" t="s">
        <v>624</v>
      </c>
      <c r="D100" s="576">
        <v>58</v>
      </c>
      <c r="E100" s="578" t="s">
        <v>625</v>
      </c>
      <c r="F100" s="579" t="s">
        <v>78</v>
      </c>
      <c r="G100" s="580">
        <v>56000</v>
      </c>
      <c r="H100" s="581" t="s">
        <v>2403</v>
      </c>
    </row>
    <row r="101" spans="1:8" ht="38.25" thickBot="1">
      <c r="A101" s="576">
        <v>4120</v>
      </c>
      <c r="B101" s="576" t="s">
        <v>157</v>
      </c>
      <c r="C101" s="577" t="s">
        <v>637</v>
      </c>
      <c r="D101" s="576">
        <v>62</v>
      </c>
      <c r="E101" s="578" t="s">
        <v>638</v>
      </c>
      <c r="F101" s="579" t="s">
        <v>78</v>
      </c>
      <c r="G101" s="580">
        <v>75000</v>
      </c>
      <c r="H101" s="581" t="s">
        <v>2403</v>
      </c>
    </row>
    <row r="102" spans="1:8" ht="19.5" thickBot="1">
      <c r="A102" s="576">
        <v>4120</v>
      </c>
      <c r="B102" s="576" t="s">
        <v>157</v>
      </c>
      <c r="C102" s="577" t="s">
        <v>641</v>
      </c>
      <c r="D102" s="576">
        <v>59</v>
      </c>
      <c r="E102" s="578" t="s">
        <v>642</v>
      </c>
      <c r="F102" s="579" t="s">
        <v>78</v>
      </c>
      <c r="G102" s="580">
        <v>53300</v>
      </c>
      <c r="H102" s="581" t="s">
        <v>2403</v>
      </c>
    </row>
    <row r="103" spans="1:8" ht="19.5" thickBot="1">
      <c r="A103" s="576">
        <v>4120</v>
      </c>
      <c r="B103" s="576" t="s">
        <v>157</v>
      </c>
      <c r="C103" s="577" t="s">
        <v>647</v>
      </c>
      <c r="D103" s="576">
        <v>58</v>
      </c>
      <c r="E103" s="578" t="s">
        <v>648</v>
      </c>
      <c r="F103" s="579" t="s">
        <v>78</v>
      </c>
      <c r="G103" s="580">
        <v>57000</v>
      </c>
      <c r="H103" s="581" t="s">
        <v>2403</v>
      </c>
    </row>
    <row r="104" spans="1:8" ht="19.5" thickBot="1">
      <c r="A104" s="576">
        <v>4120</v>
      </c>
      <c r="B104" s="576" t="s">
        <v>157</v>
      </c>
      <c r="C104" s="577" t="s">
        <v>653</v>
      </c>
      <c r="D104" s="576">
        <v>58</v>
      </c>
      <c r="E104" s="578" t="s">
        <v>654</v>
      </c>
      <c r="F104" s="579" t="s">
        <v>78</v>
      </c>
      <c r="G104" s="580">
        <v>48000</v>
      </c>
      <c r="H104" s="581" t="s">
        <v>2403</v>
      </c>
    </row>
    <row r="105" spans="1:8" ht="19.5" thickBot="1">
      <c r="A105" s="576">
        <v>4120</v>
      </c>
      <c r="B105" s="576" t="s">
        <v>157</v>
      </c>
      <c r="C105" s="577" t="s">
        <v>657</v>
      </c>
      <c r="D105" s="576">
        <v>61</v>
      </c>
      <c r="E105" s="578" t="s">
        <v>658</v>
      </c>
      <c r="F105" s="579" t="s">
        <v>78</v>
      </c>
      <c r="G105" s="580">
        <v>58000</v>
      </c>
      <c r="H105" s="581" t="s">
        <v>2403</v>
      </c>
    </row>
    <row r="106" spans="1:8" ht="19.5" thickBot="1">
      <c r="A106" s="576">
        <v>4120</v>
      </c>
      <c r="B106" s="576" t="s">
        <v>157</v>
      </c>
      <c r="C106" s="577" t="s">
        <v>663</v>
      </c>
      <c r="D106" s="576">
        <v>62</v>
      </c>
      <c r="E106" s="578" t="s">
        <v>664</v>
      </c>
      <c r="F106" s="579" t="s">
        <v>78</v>
      </c>
      <c r="G106" s="580">
        <v>61000</v>
      </c>
      <c r="H106" s="581" t="s">
        <v>2403</v>
      </c>
    </row>
    <row r="107" spans="1:8" ht="19.5" thickBot="1">
      <c r="A107" s="576">
        <v>4120</v>
      </c>
      <c r="B107" s="576" t="s">
        <v>157</v>
      </c>
      <c r="C107" s="577" t="s">
        <v>630</v>
      </c>
      <c r="D107" s="576">
        <v>58</v>
      </c>
      <c r="E107" s="578" t="s">
        <v>665</v>
      </c>
      <c r="F107" s="579" t="s">
        <v>78</v>
      </c>
      <c r="G107" s="580">
        <v>70000</v>
      </c>
      <c r="H107" s="581" t="s">
        <v>2403</v>
      </c>
    </row>
    <row r="108" spans="1:8" ht="19.5" thickBot="1">
      <c r="A108" s="576">
        <v>4120</v>
      </c>
      <c r="B108" s="576" t="s">
        <v>157</v>
      </c>
      <c r="C108" s="577" t="s">
        <v>668</v>
      </c>
      <c r="D108" s="576">
        <v>58</v>
      </c>
      <c r="E108" s="578" t="s">
        <v>669</v>
      </c>
      <c r="F108" s="579" t="s">
        <v>78</v>
      </c>
      <c r="G108" s="580">
        <v>210000</v>
      </c>
      <c r="H108" s="581" t="s">
        <v>2403</v>
      </c>
    </row>
    <row r="109" spans="1:8" ht="24" customHeight="1" thickBot="1">
      <c r="A109" s="576">
        <v>4120</v>
      </c>
      <c r="B109" s="576" t="s">
        <v>157</v>
      </c>
      <c r="C109" s="577" t="s">
        <v>666</v>
      </c>
      <c r="D109" s="576">
        <v>62</v>
      </c>
      <c r="E109" s="605" t="s">
        <v>667</v>
      </c>
      <c r="F109" s="579" t="s">
        <v>78</v>
      </c>
      <c r="G109" s="580">
        <v>81300</v>
      </c>
      <c r="H109" s="581" t="s">
        <v>2403</v>
      </c>
    </row>
    <row r="110" spans="1:8" ht="19.5" thickBot="1">
      <c r="A110" s="576">
        <v>4120</v>
      </c>
      <c r="B110" s="576" t="s">
        <v>157</v>
      </c>
      <c r="C110" s="577" t="s">
        <v>670</v>
      </c>
      <c r="D110" s="576">
        <v>58</v>
      </c>
      <c r="E110" s="578" t="s">
        <v>671</v>
      </c>
      <c r="F110" s="579" t="s">
        <v>78</v>
      </c>
      <c r="G110" s="580">
        <v>295000</v>
      </c>
      <c r="H110" s="581" t="s">
        <v>2403</v>
      </c>
    </row>
    <row r="111" spans="1:8" ht="19.5" thickBot="1">
      <c r="A111" s="576">
        <v>4120</v>
      </c>
      <c r="B111" s="576" t="s">
        <v>157</v>
      </c>
      <c r="C111" s="577" t="s">
        <v>672</v>
      </c>
      <c r="D111" s="576">
        <v>58</v>
      </c>
      <c r="E111" s="578" t="s">
        <v>673</v>
      </c>
      <c r="F111" s="579" t="s">
        <v>78</v>
      </c>
      <c r="G111" s="580">
        <v>385000</v>
      </c>
      <c r="H111" s="581" t="s">
        <v>2403</v>
      </c>
    </row>
    <row r="112" spans="1:8" ht="19.5" thickBot="1">
      <c r="A112" s="576">
        <v>4120</v>
      </c>
      <c r="B112" s="576" t="s">
        <v>157</v>
      </c>
      <c r="C112" s="577" t="s">
        <v>674</v>
      </c>
      <c r="D112" s="576">
        <v>59</v>
      </c>
      <c r="E112" s="578" t="s">
        <v>675</v>
      </c>
      <c r="F112" s="579" t="s">
        <v>78</v>
      </c>
      <c r="G112" s="580">
        <v>750000</v>
      </c>
      <c r="H112" s="581" t="s">
        <v>2403</v>
      </c>
    </row>
    <row r="113" spans="1:8" s="440" customFormat="1" ht="19.5" thickBot="1">
      <c r="A113" s="576">
        <v>4140</v>
      </c>
      <c r="B113" s="576" t="s">
        <v>157</v>
      </c>
      <c r="C113" s="577" t="s">
        <v>676</v>
      </c>
      <c r="D113" s="576">
        <v>52</v>
      </c>
      <c r="E113" s="578" t="s">
        <v>677</v>
      </c>
      <c r="F113" s="579" t="s">
        <v>78</v>
      </c>
      <c r="G113" s="580">
        <v>12000</v>
      </c>
      <c r="H113" s="581" t="s">
        <v>2404</v>
      </c>
    </row>
    <row r="114" spans="1:8" ht="19.5" thickBot="1">
      <c r="A114" s="576">
        <v>4140</v>
      </c>
      <c r="B114" s="576" t="s">
        <v>372</v>
      </c>
      <c r="C114" s="577" t="s">
        <v>678</v>
      </c>
      <c r="D114" s="576">
        <v>56</v>
      </c>
      <c r="E114" s="578" t="s">
        <v>679</v>
      </c>
      <c r="F114" s="579" t="s">
        <v>48</v>
      </c>
      <c r="G114" s="580">
        <v>35000</v>
      </c>
      <c r="H114" s="581" t="s">
        <v>2404</v>
      </c>
    </row>
    <row r="115" spans="1:8" ht="38.25" thickBot="1">
      <c r="A115" s="576">
        <v>4140</v>
      </c>
      <c r="B115" s="576" t="s">
        <v>157</v>
      </c>
      <c r="C115" s="577" t="s">
        <v>681</v>
      </c>
      <c r="D115" s="576">
        <v>58</v>
      </c>
      <c r="E115" s="578" t="s">
        <v>682</v>
      </c>
      <c r="F115" s="579" t="s">
        <v>78</v>
      </c>
      <c r="G115" s="580">
        <v>19500</v>
      </c>
      <c r="H115" s="581" t="s">
        <v>2404</v>
      </c>
    </row>
    <row r="116" spans="1:8" ht="19.5" thickBot="1">
      <c r="A116" s="602" t="s">
        <v>4126</v>
      </c>
      <c r="B116" s="603"/>
      <c r="C116" s="603"/>
      <c r="D116" s="603"/>
      <c r="E116" s="603"/>
      <c r="F116" s="603"/>
      <c r="G116" s="603"/>
      <c r="H116" s="604"/>
    </row>
    <row r="117" spans="1:8" ht="19.5" thickBot="1">
      <c r="A117" s="576">
        <v>4210</v>
      </c>
      <c r="B117" s="576" t="s">
        <v>683</v>
      </c>
      <c r="C117" s="577" t="s">
        <v>684</v>
      </c>
      <c r="D117" s="576">
        <v>62</v>
      </c>
      <c r="E117" s="578" t="s">
        <v>685</v>
      </c>
      <c r="F117" s="579" t="s">
        <v>78</v>
      </c>
      <c r="G117" s="580">
        <v>12000</v>
      </c>
      <c r="H117" s="581" t="s">
        <v>2405</v>
      </c>
    </row>
    <row r="118" spans="1:8" ht="19.5" thickBot="1">
      <c r="A118" s="576">
        <v>4210</v>
      </c>
      <c r="B118" s="576" t="s">
        <v>683</v>
      </c>
      <c r="C118" s="577" t="s">
        <v>686</v>
      </c>
      <c r="D118" s="576">
        <v>62</v>
      </c>
      <c r="E118" s="578" t="s">
        <v>687</v>
      </c>
      <c r="F118" s="579" t="s">
        <v>78</v>
      </c>
      <c r="G118" s="580">
        <v>15000</v>
      </c>
      <c r="H118" s="581" t="s">
        <v>2405</v>
      </c>
    </row>
    <row r="119" spans="1:8" ht="19.5" thickBot="1">
      <c r="A119" s="576">
        <v>4210</v>
      </c>
      <c r="B119" s="576" t="s">
        <v>683</v>
      </c>
      <c r="C119" s="577" t="s">
        <v>688</v>
      </c>
      <c r="D119" s="576">
        <v>60</v>
      </c>
      <c r="E119" s="578" t="s">
        <v>689</v>
      </c>
      <c r="F119" s="579" t="s">
        <v>28</v>
      </c>
      <c r="G119" s="580">
        <v>6900000</v>
      </c>
      <c r="H119" s="581" t="s">
        <v>2405</v>
      </c>
    </row>
    <row r="120" spans="1:8" ht="38.25" thickBot="1">
      <c r="A120" s="537" t="s">
        <v>10</v>
      </c>
      <c r="B120" s="537" t="s">
        <v>2</v>
      </c>
      <c r="C120" s="537" t="s">
        <v>3</v>
      </c>
      <c r="D120" s="537" t="s">
        <v>4</v>
      </c>
      <c r="E120" s="537" t="s">
        <v>2754</v>
      </c>
      <c r="F120" s="538" t="s">
        <v>3600</v>
      </c>
      <c r="G120" s="538" t="s">
        <v>7</v>
      </c>
      <c r="H120" s="538" t="s">
        <v>8</v>
      </c>
    </row>
    <row r="121" spans="1:8" ht="19.5" thickBot="1">
      <c r="A121" s="576">
        <v>4210</v>
      </c>
      <c r="B121" s="576" t="s">
        <v>683</v>
      </c>
      <c r="C121" s="577" t="s">
        <v>4171</v>
      </c>
      <c r="D121" s="576">
        <v>62</v>
      </c>
      <c r="E121" s="578" t="s">
        <v>4172</v>
      </c>
      <c r="F121" s="579" t="s">
        <v>28</v>
      </c>
      <c r="G121" s="580">
        <v>1200000</v>
      </c>
      <c r="H121" s="581" t="s">
        <v>2405</v>
      </c>
    </row>
    <row r="122" spans="1:8" ht="19.5" thickBot="1">
      <c r="A122" s="576">
        <v>4210</v>
      </c>
      <c r="B122" s="576" t="s">
        <v>683</v>
      </c>
      <c r="C122" s="577" t="s">
        <v>692</v>
      </c>
      <c r="D122" s="576">
        <v>60</v>
      </c>
      <c r="E122" s="578" t="s">
        <v>693</v>
      </c>
      <c r="F122" s="579" t="s">
        <v>28</v>
      </c>
      <c r="G122" s="580">
        <v>2500000</v>
      </c>
      <c r="H122" s="581" t="s">
        <v>2405</v>
      </c>
    </row>
    <row r="123" spans="1:8" ht="19.5" thickBot="1">
      <c r="A123" s="576">
        <v>4210</v>
      </c>
      <c r="B123" s="576" t="s">
        <v>37</v>
      </c>
      <c r="C123" s="577" t="s">
        <v>702</v>
      </c>
      <c r="D123" s="576">
        <v>58</v>
      </c>
      <c r="E123" s="578" t="s">
        <v>703</v>
      </c>
      <c r="F123" s="579" t="s">
        <v>704</v>
      </c>
      <c r="G123" s="580">
        <v>1490000</v>
      </c>
      <c r="H123" s="581">
        <v>4210</v>
      </c>
    </row>
    <row r="124" spans="1:8" ht="19.5" thickBot="1">
      <c r="A124" s="576">
        <v>4210</v>
      </c>
      <c r="B124" s="576" t="s">
        <v>683</v>
      </c>
      <c r="C124" s="577" t="s">
        <v>694</v>
      </c>
      <c r="D124" s="576">
        <v>59</v>
      </c>
      <c r="E124" s="578" t="s">
        <v>695</v>
      </c>
      <c r="F124" s="579" t="s">
        <v>28</v>
      </c>
      <c r="G124" s="580">
        <v>32000000</v>
      </c>
      <c r="H124" s="581" t="s">
        <v>2405</v>
      </c>
    </row>
    <row r="125" spans="1:8" ht="19.5" thickBot="1">
      <c r="A125" s="576">
        <v>4210</v>
      </c>
      <c r="B125" s="576" t="s">
        <v>683</v>
      </c>
      <c r="C125" s="577" t="s">
        <v>4161</v>
      </c>
      <c r="D125" s="576">
        <v>59</v>
      </c>
      <c r="E125" s="578" t="s">
        <v>697</v>
      </c>
      <c r="F125" s="579" t="s">
        <v>28</v>
      </c>
      <c r="G125" s="580">
        <v>12000000</v>
      </c>
      <c r="H125" s="581" t="s">
        <v>2405</v>
      </c>
    </row>
    <row r="126" spans="1:8" ht="19.5" thickBot="1">
      <c r="A126" s="576">
        <v>4210</v>
      </c>
      <c r="B126" s="576" t="s">
        <v>683</v>
      </c>
      <c r="C126" s="577" t="s">
        <v>698</v>
      </c>
      <c r="D126" s="576">
        <v>62</v>
      </c>
      <c r="E126" s="578" t="s">
        <v>699</v>
      </c>
      <c r="F126" s="579" t="s">
        <v>28</v>
      </c>
      <c r="G126" s="580">
        <v>3500000</v>
      </c>
      <c r="H126" s="581" t="s">
        <v>2405</v>
      </c>
    </row>
    <row r="127" spans="1:8" ht="38.25" thickBot="1">
      <c r="A127" s="576">
        <v>4210</v>
      </c>
      <c r="B127" s="576" t="s">
        <v>683</v>
      </c>
      <c r="C127" s="577" t="s">
        <v>705</v>
      </c>
      <c r="D127" s="576">
        <v>62</v>
      </c>
      <c r="E127" s="578" t="s">
        <v>706</v>
      </c>
      <c r="F127" s="579" t="s">
        <v>707</v>
      </c>
      <c r="G127" s="580">
        <v>14700</v>
      </c>
      <c r="H127" s="581" t="s">
        <v>2405</v>
      </c>
    </row>
    <row r="128" spans="1:8" ht="38.25" thickBot="1">
      <c r="A128" s="576">
        <v>4210</v>
      </c>
      <c r="B128" s="576" t="s">
        <v>683</v>
      </c>
      <c r="C128" s="577" t="s">
        <v>708</v>
      </c>
      <c r="D128" s="576">
        <v>62</v>
      </c>
      <c r="E128" s="578" t="s">
        <v>709</v>
      </c>
      <c r="F128" s="579" t="s">
        <v>707</v>
      </c>
      <c r="G128" s="580">
        <v>16200</v>
      </c>
      <c r="H128" s="581" t="s">
        <v>2405</v>
      </c>
    </row>
    <row r="129" spans="1:8" ht="19.5" thickBot="1">
      <c r="A129" s="576">
        <v>4210</v>
      </c>
      <c r="B129" s="576" t="s">
        <v>683</v>
      </c>
      <c r="C129" s="577" t="s">
        <v>710</v>
      </c>
      <c r="D129" s="576">
        <v>54</v>
      </c>
      <c r="E129" s="578" t="s">
        <v>711</v>
      </c>
      <c r="F129" s="579" t="s">
        <v>712</v>
      </c>
      <c r="G129" s="580">
        <v>33000</v>
      </c>
      <c r="H129" s="581" t="s">
        <v>2405</v>
      </c>
    </row>
    <row r="130" spans="1:8" ht="19.5" thickBot="1">
      <c r="A130" s="576">
        <v>4210</v>
      </c>
      <c r="B130" s="576" t="s">
        <v>683</v>
      </c>
      <c r="C130" s="577" t="s">
        <v>714</v>
      </c>
      <c r="D130" s="576">
        <v>54</v>
      </c>
      <c r="E130" s="578" t="s">
        <v>715</v>
      </c>
      <c r="F130" s="579" t="s">
        <v>712</v>
      </c>
      <c r="G130" s="580">
        <v>39600</v>
      </c>
      <c r="H130" s="581" t="s">
        <v>2405</v>
      </c>
    </row>
    <row r="131" spans="1:8" ht="19.5" thickBot="1">
      <c r="A131" s="576">
        <v>4210</v>
      </c>
      <c r="B131" s="576" t="s">
        <v>256</v>
      </c>
      <c r="C131" s="577" t="s">
        <v>717</v>
      </c>
      <c r="D131" s="576">
        <v>57</v>
      </c>
      <c r="E131" s="578" t="s">
        <v>718</v>
      </c>
      <c r="F131" s="579" t="s">
        <v>78</v>
      </c>
      <c r="G131" s="580">
        <v>40000</v>
      </c>
      <c r="H131" s="579"/>
    </row>
    <row r="132" spans="1:8" ht="26.25" customHeight="1" thickBot="1">
      <c r="A132" s="602" t="s">
        <v>4127</v>
      </c>
      <c r="B132" s="603"/>
      <c r="C132" s="603"/>
      <c r="D132" s="603"/>
      <c r="E132" s="603"/>
      <c r="F132" s="603"/>
      <c r="G132" s="603"/>
      <c r="H132" s="604"/>
    </row>
    <row r="133" spans="1:8" ht="22.5" customHeight="1" thickBot="1">
      <c r="A133" s="576">
        <v>4310</v>
      </c>
      <c r="B133" s="576" t="s">
        <v>157</v>
      </c>
      <c r="C133" s="577" t="s">
        <v>722</v>
      </c>
      <c r="D133" s="576">
        <v>53</v>
      </c>
      <c r="E133" s="578" t="s">
        <v>724</v>
      </c>
      <c r="F133" s="579" t="s">
        <v>78</v>
      </c>
      <c r="G133" s="580">
        <v>9500</v>
      </c>
      <c r="H133" s="581" t="s">
        <v>2407</v>
      </c>
    </row>
    <row r="134" spans="1:8" ht="19.5" thickBot="1">
      <c r="A134" s="576">
        <v>4310</v>
      </c>
      <c r="B134" s="576" t="s">
        <v>157</v>
      </c>
      <c r="C134" s="577" t="s">
        <v>749</v>
      </c>
      <c r="D134" s="576">
        <v>54</v>
      </c>
      <c r="E134" s="578" t="s">
        <v>751</v>
      </c>
      <c r="F134" s="579" t="s">
        <v>78</v>
      </c>
      <c r="G134" s="580">
        <v>28000</v>
      </c>
      <c r="H134" s="581" t="s">
        <v>2407</v>
      </c>
    </row>
    <row r="135" spans="1:8" ht="19.5" thickBot="1">
      <c r="A135" s="576">
        <v>4310</v>
      </c>
      <c r="B135" s="576" t="s">
        <v>157</v>
      </c>
      <c r="C135" s="577" t="s">
        <v>763</v>
      </c>
      <c r="D135" s="576">
        <v>55</v>
      </c>
      <c r="E135" s="578" t="s">
        <v>764</v>
      </c>
      <c r="F135" s="579" t="s">
        <v>78</v>
      </c>
      <c r="G135" s="580">
        <v>29500</v>
      </c>
      <c r="H135" s="581" t="s">
        <v>2407</v>
      </c>
    </row>
    <row r="136" spans="1:8" ht="19.5" thickBot="1">
      <c r="A136" s="576">
        <v>4310</v>
      </c>
      <c r="B136" s="576" t="s">
        <v>157</v>
      </c>
      <c r="C136" s="577" t="s">
        <v>775</v>
      </c>
      <c r="D136" s="576">
        <v>53</v>
      </c>
      <c r="E136" s="578" t="s">
        <v>776</v>
      </c>
      <c r="F136" s="579" t="s">
        <v>78</v>
      </c>
      <c r="G136" s="580">
        <v>165000</v>
      </c>
      <c r="H136" s="581" t="s">
        <v>2407</v>
      </c>
    </row>
    <row r="137" spans="1:8" ht="19.5" thickBot="1">
      <c r="A137" s="576">
        <v>4310</v>
      </c>
      <c r="B137" s="576" t="s">
        <v>683</v>
      </c>
      <c r="C137" s="577" t="s">
        <v>738</v>
      </c>
      <c r="D137" s="576">
        <v>62</v>
      </c>
      <c r="E137" s="578" t="s">
        <v>739</v>
      </c>
      <c r="F137" s="579" t="s">
        <v>78</v>
      </c>
      <c r="G137" s="580">
        <v>450000</v>
      </c>
      <c r="H137" s="581">
        <v>4310</v>
      </c>
    </row>
    <row r="138" spans="1:8" ht="38.25" thickBot="1">
      <c r="A138" s="576">
        <v>4320</v>
      </c>
      <c r="B138" s="576" t="s">
        <v>256</v>
      </c>
      <c r="C138" s="577" t="s">
        <v>837</v>
      </c>
      <c r="D138" s="576">
        <v>54</v>
      </c>
      <c r="E138" s="578" t="s">
        <v>838</v>
      </c>
      <c r="F138" s="579" t="s">
        <v>78</v>
      </c>
      <c r="G138" s="580">
        <v>950000</v>
      </c>
      <c r="H138" s="581" t="s">
        <v>2409</v>
      </c>
    </row>
    <row r="139" spans="1:8" ht="19.5" thickBot="1">
      <c r="A139" s="576">
        <v>4320</v>
      </c>
      <c r="B139" s="576" t="s">
        <v>256</v>
      </c>
      <c r="C139" s="577" t="s">
        <v>850</v>
      </c>
      <c r="D139" s="576">
        <v>54</v>
      </c>
      <c r="E139" s="578" t="s">
        <v>851</v>
      </c>
      <c r="F139" s="579" t="s">
        <v>78</v>
      </c>
      <c r="G139" s="580">
        <v>406800</v>
      </c>
      <c r="H139" s="581" t="s">
        <v>2409</v>
      </c>
    </row>
    <row r="140" spans="1:8" ht="19.5" thickBot="1">
      <c r="A140" s="576">
        <v>4320</v>
      </c>
      <c r="B140" s="576" t="s">
        <v>256</v>
      </c>
      <c r="C140" s="577" t="s">
        <v>791</v>
      </c>
      <c r="D140" s="576">
        <v>53</v>
      </c>
      <c r="E140" s="578" t="s">
        <v>792</v>
      </c>
      <c r="F140" s="579" t="s">
        <v>78</v>
      </c>
      <c r="G140" s="580">
        <v>63400</v>
      </c>
      <c r="H140" s="581" t="s">
        <v>2409</v>
      </c>
    </row>
    <row r="141" spans="1:8" ht="19.5" thickBot="1">
      <c r="A141" s="576">
        <v>4320</v>
      </c>
      <c r="B141" s="576" t="s">
        <v>256</v>
      </c>
      <c r="C141" s="577" t="s">
        <v>4169</v>
      </c>
      <c r="D141" s="576">
        <v>62</v>
      </c>
      <c r="E141" s="578" t="s">
        <v>4170</v>
      </c>
      <c r="F141" s="579" t="s">
        <v>78</v>
      </c>
      <c r="G141" s="580">
        <v>9100</v>
      </c>
      <c r="H141" s="581" t="s">
        <v>2409</v>
      </c>
    </row>
    <row r="142" spans="1:8" ht="19.5" thickBot="1">
      <c r="A142" s="576">
        <v>4320</v>
      </c>
      <c r="B142" s="576" t="s">
        <v>256</v>
      </c>
      <c r="C142" s="577" t="s">
        <v>799</v>
      </c>
      <c r="D142" s="576">
        <v>55</v>
      </c>
      <c r="E142" s="578" t="s">
        <v>800</v>
      </c>
      <c r="F142" s="579" t="s">
        <v>78</v>
      </c>
      <c r="G142" s="580">
        <v>950000</v>
      </c>
      <c r="H142" s="579"/>
    </row>
    <row r="143" spans="1:8" ht="19.5" thickBot="1">
      <c r="A143" s="576">
        <v>4320</v>
      </c>
      <c r="B143" s="576" t="s">
        <v>256</v>
      </c>
      <c r="C143" s="577" t="s">
        <v>863</v>
      </c>
      <c r="D143" s="576">
        <v>53</v>
      </c>
      <c r="E143" s="578" t="s">
        <v>864</v>
      </c>
      <c r="F143" s="579" t="s">
        <v>78</v>
      </c>
      <c r="G143" s="580">
        <v>95000</v>
      </c>
      <c r="H143" s="581" t="s">
        <v>2409</v>
      </c>
    </row>
    <row r="144" spans="1:8" ht="19.5" thickBot="1">
      <c r="A144" s="576">
        <v>4320</v>
      </c>
      <c r="B144" s="576" t="s">
        <v>256</v>
      </c>
      <c r="C144" s="577" t="s">
        <v>865</v>
      </c>
      <c r="D144" s="576">
        <v>53</v>
      </c>
      <c r="E144" s="578" t="s">
        <v>866</v>
      </c>
      <c r="F144" s="579" t="s">
        <v>78</v>
      </c>
      <c r="G144" s="580">
        <v>120000</v>
      </c>
      <c r="H144" s="581" t="s">
        <v>2409</v>
      </c>
    </row>
    <row r="145" spans="1:8" ht="19.5" thickBot="1">
      <c r="A145" s="576">
        <v>4320</v>
      </c>
      <c r="B145" s="576" t="s">
        <v>256</v>
      </c>
      <c r="C145" s="577" t="s">
        <v>869</v>
      </c>
      <c r="D145" s="576">
        <v>53</v>
      </c>
      <c r="E145" s="578" t="s">
        <v>870</v>
      </c>
      <c r="F145" s="579" t="s">
        <v>78</v>
      </c>
      <c r="G145" s="580">
        <v>140000</v>
      </c>
      <c r="H145" s="581" t="s">
        <v>2409</v>
      </c>
    </row>
    <row r="146" spans="1:8" ht="19.5" thickBot="1">
      <c r="A146" s="576">
        <v>4320</v>
      </c>
      <c r="B146" s="576" t="s">
        <v>256</v>
      </c>
      <c r="C146" s="577" t="s">
        <v>861</v>
      </c>
      <c r="D146" s="576">
        <v>53</v>
      </c>
      <c r="E146" s="578" t="s">
        <v>862</v>
      </c>
      <c r="F146" s="579" t="s">
        <v>78</v>
      </c>
      <c r="G146" s="580">
        <v>150000</v>
      </c>
      <c r="H146" s="581" t="s">
        <v>2409</v>
      </c>
    </row>
    <row r="147" spans="1:8" ht="38.25" thickBot="1">
      <c r="A147" s="576">
        <v>4320</v>
      </c>
      <c r="B147" s="576" t="s">
        <v>256</v>
      </c>
      <c r="C147" s="577" t="s">
        <v>873</v>
      </c>
      <c r="D147" s="576">
        <v>57</v>
      </c>
      <c r="E147" s="578" t="s">
        <v>874</v>
      </c>
      <c r="F147" s="579" t="s">
        <v>78</v>
      </c>
      <c r="G147" s="580">
        <v>15000</v>
      </c>
      <c r="H147" s="581" t="s">
        <v>2409</v>
      </c>
    </row>
    <row r="148" spans="1:8" ht="19.5" thickBot="1">
      <c r="A148" s="576">
        <v>4320</v>
      </c>
      <c r="B148" s="576" t="s">
        <v>256</v>
      </c>
      <c r="C148" s="577" t="s">
        <v>871</v>
      </c>
      <c r="D148" s="576">
        <v>54</v>
      </c>
      <c r="E148" s="578" t="s">
        <v>872</v>
      </c>
      <c r="F148" s="579" t="s">
        <v>78</v>
      </c>
      <c r="G148" s="580">
        <v>30000</v>
      </c>
      <c r="H148" s="581" t="s">
        <v>2409</v>
      </c>
    </row>
    <row r="149" spans="1:8" ht="45.75" customHeight="1" thickBot="1">
      <c r="A149" s="576">
        <v>4320</v>
      </c>
      <c r="B149" s="576" t="s">
        <v>256</v>
      </c>
      <c r="C149" s="577" t="s">
        <v>875</v>
      </c>
      <c r="D149" s="576">
        <v>57</v>
      </c>
      <c r="E149" s="578" t="s">
        <v>876</v>
      </c>
      <c r="F149" s="579" t="s">
        <v>78</v>
      </c>
      <c r="G149" s="580">
        <v>1400000</v>
      </c>
      <c r="H149" s="581" t="s">
        <v>2409</v>
      </c>
    </row>
    <row r="150" spans="1:8" ht="19.5" thickBot="1">
      <c r="A150" s="576">
        <v>4320</v>
      </c>
      <c r="B150" s="576" t="s">
        <v>256</v>
      </c>
      <c r="C150" s="577" t="s">
        <v>877</v>
      </c>
      <c r="D150" s="576">
        <v>57</v>
      </c>
      <c r="E150" s="578" t="s">
        <v>878</v>
      </c>
      <c r="F150" s="579" t="s">
        <v>78</v>
      </c>
      <c r="G150" s="580">
        <v>1900000</v>
      </c>
      <c r="H150" s="581" t="s">
        <v>2409</v>
      </c>
    </row>
    <row r="151" spans="1:8" ht="38.25" thickBot="1">
      <c r="A151" s="576">
        <v>4320</v>
      </c>
      <c r="B151" s="576" t="s">
        <v>256</v>
      </c>
      <c r="C151" s="577" t="s">
        <v>880</v>
      </c>
      <c r="D151" s="576">
        <v>54</v>
      </c>
      <c r="E151" s="578" t="s">
        <v>881</v>
      </c>
      <c r="F151" s="579" t="s">
        <v>78</v>
      </c>
      <c r="G151" s="580">
        <v>91500</v>
      </c>
      <c r="H151" s="581" t="s">
        <v>2409</v>
      </c>
    </row>
    <row r="152" spans="1:8" ht="38.25" thickBot="1">
      <c r="A152" s="576">
        <v>4320</v>
      </c>
      <c r="B152" s="576" t="s">
        <v>256</v>
      </c>
      <c r="C152" s="577" t="s">
        <v>882</v>
      </c>
      <c r="D152" s="576">
        <v>57</v>
      </c>
      <c r="E152" s="578" t="s">
        <v>883</v>
      </c>
      <c r="F152" s="579" t="s">
        <v>78</v>
      </c>
      <c r="G152" s="580">
        <v>400000</v>
      </c>
      <c r="H152" s="581" t="s">
        <v>2409</v>
      </c>
    </row>
    <row r="153" spans="1:8" ht="19.5" thickBot="1">
      <c r="A153" s="576">
        <v>4320</v>
      </c>
      <c r="B153" s="576" t="s">
        <v>256</v>
      </c>
      <c r="C153" s="577" t="s">
        <v>884</v>
      </c>
      <c r="D153" s="576">
        <v>59</v>
      </c>
      <c r="E153" s="578" t="s">
        <v>4114</v>
      </c>
      <c r="F153" s="579" t="s">
        <v>78</v>
      </c>
      <c r="G153" s="580">
        <v>40000</v>
      </c>
      <c r="H153" s="581" t="s">
        <v>2409</v>
      </c>
    </row>
    <row r="154" spans="1:8" ht="38.25" thickBot="1">
      <c r="A154" s="576">
        <v>4320</v>
      </c>
      <c r="B154" s="576" t="s">
        <v>256</v>
      </c>
      <c r="C154" s="577" t="s">
        <v>890</v>
      </c>
      <c r="D154" s="576">
        <v>57</v>
      </c>
      <c r="E154" s="578" t="s">
        <v>891</v>
      </c>
      <c r="F154" s="579" t="s">
        <v>78</v>
      </c>
      <c r="G154" s="580">
        <v>130000</v>
      </c>
      <c r="H154" s="581" t="s">
        <v>2409</v>
      </c>
    </row>
    <row r="155" spans="1:8" ht="38.25" thickBot="1">
      <c r="A155" s="576">
        <v>4320</v>
      </c>
      <c r="B155" s="576" t="s">
        <v>256</v>
      </c>
      <c r="C155" s="577" t="s">
        <v>887</v>
      </c>
      <c r="D155" s="576">
        <v>57</v>
      </c>
      <c r="E155" s="578" t="s">
        <v>4253</v>
      </c>
      <c r="F155" s="579" t="s">
        <v>78</v>
      </c>
      <c r="G155" s="580">
        <v>450000</v>
      </c>
      <c r="H155" s="581" t="s">
        <v>2409</v>
      </c>
    </row>
    <row r="156" spans="1:8" s="440" customFormat="1" ht="19.5" thickBot="1">
      <c r="A156" s="576">
        <v>4320</v>
      </c>
      <c r="B156" s="576" t="s">
        <v>256</v>
      </c>
      <c r="C156" s="577" t="s">
        <v>900</v>
      </c>
      <c r="D156" s="576">
        <v>57</v>
      </c>
      <c r="E156" s="578" t="s">
        <v>901</v>
      </c>
      <c r="F156" s="579" t="s">
        <v>78</v>
      </c>
      <c r="G156" s="580">
        <v>45000</v>
      </c>
      <c r="H156" s="581" t="s">
        <v>2409</v>
      </c>
    </row>
    <row r="157" spans="1:8" ht="42.75" customHeight="1" thickBot="1">
      <c r="A157" s="537" t="s">
        <v>10</v>
      </c>
      <c r="B157" s="537" t="s">
        <v>2</v>
      </c>
      <c r="C157" s="537" t="s">
        <v>3</v>
      </c>
      <c r="D157" s="537" t="s">
        <v>4</v>
      </c>
      <c r="E157" s="537" t="s">
        <v>2754</v>
      </c>
      <c r="F157" s="538" t="s">
        <v>3600</v>
      </c>
      <c r="G157" s="538" t="s">
        <v>7</v>
      </c>
      <c r="H157" s="538" t="s">
        <v>8</v>
      </c>
    </row>
    <row r="158" spans="1:8" ht="27" customHeight="1" thickBot="1">
      <c r="A158" s="576">
        <v>4320</v>
      </c>
      <c r="B158" s="576" t="s">
        <v>256</v>
      </c>
      <c r="C158" s="577" t="s">
        <v>892</v>
      </c>
      <c r="D158" s="576">
        <v>56</v>
      </c>
      <c r="E158" s="578" t="s">
        <v>893</v>
      </c>
      <c r="F158" s="579" t="s">
        <v>78</v>
      </c>
      <c r="G158" s="580">
        <v>90000</v>
      </c>
      <c r="H158" s="581" t="s">
        <v>2409</v>
      </c>
    </row>
    <row r="159" spans="1:8" ht="24.75" customHeight="1" thickBot="1">
      <c r="A159" s="576">
        <v>4320</v>
      </c>
      <c r="B159" s="576" t="s">
        <v>256</v>
      </c>
      <c r="C159" s="577" t="s">
        <v>896</v>
      </c>
      <c r="D159" s="576">
        <v>53</v>
      </c>
      <c r="E159" s="578" t="s">
        <v>897</v>
      </c>
      <c r="F159" s="579" t="s">
        <v>78</v>
      </c>
      <c r="G159" s="580">
        <v>110000</v>
      </c>
      <c r="H159" s="581" t="s">
        <v>2409</v>
      </c>
    </row>
    <row r="160" spans="1:8" ht="27.75" customHeight="1" thickBot="1">
      <c r="A160" s="576">
        <v>4320</v>
      </c>
      <c r="B160" s="576" t="s">
        <v>256</v>
      </c>
      <c r="C160" s="577" t="s">
        <v>898</v>
      </c>
      <c r="D160" s="576">
        <v>56</v>
      </c>
      <c r="E160" s="578" t="s">
        <v>899</v>
      </c>
      <c r="F160" s="579" t="s">
        <v>78</v>
      </c>
      <c r="G160" s="580">
        <v>175000</v>
      </c>
      <c r="H160" s="581" t="s">
        <v>2409</v>
      </c>
    </row>
    <row r="161" spans="1:8" ht="19.5" thickBot="1">
      <c r="A161" s="576">
        <v>4320</v>
      </c>
      <c r="B161" s="576" t="s">
        <v>256</v>
      </c>
      <c r="C161" s="577" t="s">
        <v>902</v>
      </c>
      <c r="D161" s="576">
        <v>57</v>
      </c>
      <c r="E161" s="578" t="s">
        <v>903</v>
      </c>
      <c r="F161" s="579" t="s">
        <v>78</v>
      </c>
      <c r="G161" s="580">
        <v>265000</v>
      </c>
      <c r="H161" s="581" t="s">
        <v>2409</v>
      </c>
    </row>
    <row r="162" spans="1:8" ht="19.5" thickBot="1">
      <c r="A162" s="576">
        <v>4320</v>
      </c>
      <c r="B162" s="576" t="s">
        <v>256</v>
      </c>
      <c r="C162" s="577" t="s">
        <v>904</v>
      </c>
      <c r="D162" s="576">
        <v>57</v>
      </c>
      <c r="E162" s="578" t="s">
        <v>905</v>
      </c>
      <c r="F162" s="579" t="s">
        <v>78</v>
      </c>
      <c r="G162" s="580">
        <v>11000</v>
      </c>
      <c r="H162" s="581" t="s">
        <v>2409</v>
      </c>
    </row>
    <row r="163" spans="1:8" ht="19.5" thickBot="1">
      <c r="A163" s="576">
        <v>4320</v>
      </c>
      <c r="B163" s="576" t="s">
        <v>256</v>
      </c>
      <c r="C163" s="577" t="s">
        <v>894</v>
      </c>
      <c r="D163" s="576">
        <v>57</v>
      </c>
      <c r="E163" s="578" t="s">
        <v>895</v>
      </c>
      <c r="F163" s="579" t="s">
        <v>78</v>
      </c>
      <c r="G163" s="580">
        <v>18200</v>
      </c>
      <c r="H163" s="581" t="s">
        <v>2409</v>
      </c>
    </row>
    <row r="164" spans="1:8" ht="19.5" thickBot="1">
      <c r="A164" s="576">
        <v>4320</v>
      </c>
      <c r="B164" s="576" t="s">
        <v>256</v>
      </c>
      <c r="C164" s="577" t="s">
        <v>907</v>
      </c>
      <c r="D164" s="576">
        <v>54</v>
      </c>
      <c r="E164" s="578" t="s">
        <v>908</v>
      </c>
      <c r="F164" s="579" t="s">
        <v>78</v>
      </c>
      <c r="G164" s="580">
        <v>60000</v>
      </c>
      <c r="H164" s="581" t="s">
        <v>2409</v>
      </c>
    </row>
    <row r="165" spans="1:8" ht="19.5" thickBot="1">
      <c r="A165" s="576">
        <v>4320</v>
      </c>
      <c r="B165" s="576" t="s">
        <v>256</v>
      </c>
      <c r="C165" s="577" t="s">
        <v>909</v>
      </c>
      <c r="D165" s="576">
        <v>54</v>
      </c>
      <c r="E165" s="578" t="s">
        <v>910</v>
      </c>
      <c r="F165" s="579" t="s">
        <v>78</v>
      </c>
      <c r="G165" s="580">
        <v>8500</v>
      </c>
      <c r="H165" s="581" t="s">
        <v>2409</v>
      </c>
    </row>
    <row r="166" spans="1:8" ht="19.5" thickBot="1">
      <c r="A166" s="576">
        <v>4320</v>
      </c>
      <c r="B166" s="576" t="s">
        <v>256</v>
      </c>
      <c r="C166" s="577" t="s">
        <v>911</v>
      </c>
      <c r="D166" s="576">
        <v>54</v>
      </c>
      <c r="E166" s="578" t="s">
        <v>912</v>
      </c>
      <c r="F166" s="579" t="s">
        <v>78</v>
      </c>
      <c r="G166" s="580">
        <v>14000</v>
      </c>
      <c r="H166" s="581" t="s">
        <v>2409</v>
      </c>
    </row>
    <row r="167" spans="1:8" ht="19.5" thickBot="1">
      <c r="A167" s="576">
        <v>4320</v>
      </c>
      <c r="B167" s="576" t="s">
        <v>256</v>
      </c>
      <c r="C167" s="577" t="s">
        <v>913</v>
      </c>
      <c r="D167" s="576">
        <v>54</v>
      </c>
      <c r="E167" s="578" t="s">
        <v>914</v>
      </c>
      <c r="F167" s="579" t="s">
        <v>78</v>
      </c>
      <c r="G167" s="580">
        <v>21000</v>
      </c>
      <c r="H167" s="581" t="s">
        <v>2409</v>
      </c>
    </row>
    <row r="168" spans="1:8" s="440" customFormat="1" ht="19.5" thickBot="1">
      <c r="A168" s="576">
        <v>4320</v>
      </c>
      <c r="B168" s="576" t="s">
        <v>256</v>
      </c>
      <c r="C168" s="577" t="s">
        <v>921</v>
      </c>
      <c r="D168" s="576">
        <v>56</v>
      </c>
      <c r="E168" s="605" t="s">
        <v>922</v>
      </c>
      <c r="F168" s="579" t="s">
        <v>78</v>
      </c>
      <c r="G168" s="580">
        <v>75000</v>
      </c>
      <c r="H168" s="581" t="s">
        <v>2409</v>
      </c>
    </row>
    <row r="169" spans="1:8" ht="19.5" thickBot="1">
      <c r="A169" s="576">
        <v>4320</v>
      </c>
      <c r="B169" s="576" t="s">
        <v>256</v>
      </c>
      <c r="C169" s="577" t="s">
        <v>917</v>
      </c>
      <c r="D169" s="576">
        <v>56</v>
      </c>
      <c r="E169" s="605" t="s">
        <v>918</v>
      </c>
      <c r="F169" s="579" t="s">
        <v>78</v>
      </c>
      <c r="G169" s="580">
        <v>260000</v>
      </c>
      <c r="H169" s="581" t="s">
        <v>2409</v>
      </c>
    </row>
    <row r="170" spans="1:8" ht="19.5" thickBot="1">
      <c r="A170" s="602" t="s">
        <v>4128</v>
      </c>
      <c r="B170" s="603"/>
      <c r="C170" s="603"/>
      <c r="D170" s="603"/>
      <c r="E170" s="603"/>
      <c r="F170" s="603"/>
      <c r="G170" s="603"/>
      <c r="H170" s="604"/>
    </row>
    <row r="171" spans="1:8" s="440" customFormat="1" ht="19.5" thickBot="1">
      <c r="A171" s="576">
        <v>4440</v>
      </c>
      <c r="B171" s="576" t="s">
        <v>372</v>
      </c>
      <c r="C171" s="577" t="s">
        <v>933</v>
      </c>
      <c r="D171" s="576">
        <v>55</v>
      </c>
      <c r="E171" s="578" t="s">
        <v>934</v>
      </c>
      <c r="F171" s="579" t="s">
        <v>78</v>
      </c>
      <c r="G171" s="580">
        <v>255000</v>
      </c>
      <c r="H171" s="581" t="s">
        <v>2411</v>
      </c>
    </row>
    <row r="172" spans="1:8" ht="19.5" thickBot="1">
      <c r="A172" s="576">
        <v>4440</v>
      </c>
      <c r="B172" s="576" t="s">
        <v>372</v>
      </c>
      <c r="C172" s="577" t="s">
        <v>927</v>
      </c>
      <c r="D172" s="576">
        <v>55</v>
      </c>
      <c r="E172" s="578" t="s">
        <v>928</v>
      </c>
      <c r="F172" s="579" t="s">
        <v>78</v>
      </c>
      <c r="G172" s="580">
        <v>455000</v>
      </c>
      <c r="H172" s="581" t="s">
        <v>2411</v>
      </c>
    </row>
    <row r="173" spans="1:8" ht="19.5" thickBot="1">
      <c r="A173" s="576">
        <v>4440</v>
      </c>
      <c r="B173" s="576" t="s">
        <v>372</v>
      </c>
      <c r="C173" s="577" t="s">
        <v>929</v>
      </c>
      <c r="D173" s="576">
        <v>55</v>
      </c>
      <c r="E173" s="578" t="s">
        <v>930</v>
      </c>
      <c r="F173" s="579" t="s">
        <v>78</v>
      </c>
      <c r="G173" s="580">
        <v>650000</v>
      </c>
      <c r="H173" s="581" t="s">
        <v>2411</v>
      </c>
    </row>
    <row r="174" spans="1:8" ht="19.5" thickBot="1">
      <c r="A174" s="576">
        <v>4440</v>
      </c>
      <c r="B174" s="576" t="s">
        <v>372</v>
      </c>
      <c r="C174" s="577" t="s">
        <v>931</v>
      </c>
      <c r="D174" s="576">
        <v>55</v>
      </c>
      <c r="E174" s="578" t="s">
        <v>932</v>
      </c>
      <c r="F174" s="579" t="s">
        <v>78</v>
      </c>
      <c r="G174" s="580">
        <v>850000</v>
      </c>
      <c r="H174" s="581" t="s">
        <v>2411</v>
      </c>
    </row>
    <row r="175" spans="1:8" ht="19.5" thickBot="1">
      <c r="A175" s="576">
        <v>4460</v>
      </c>
      <c r="B175" s="576" t="s">
        <v>157</v>
      </c>
      <c r="C175" s="577" t="s">
        <v>939</v>
      </c>
      <c r="D175" s="576">
        <v>52</v>
      </c>
      <c r="E175" s="578" t="s">
        <v>940</v>
      </c>
      <c r="F175" s="579" t="s">
        <v>78</v>
      </c>
      <c r="G175" s="580">
        <v>47000</v>
      </c>
      <c r="H175" s="581" t="s">
        <v>2413</v>
      </c>
    </row>
    <row r="176" spans="1:8" ht="19.5" thickBot="1">
      <c r="A176" s="576">
        <v>4460</v>
      </c>
      <c r="B176" s="576" t="s">
        <v>372</v>
      </c>
      <c r="C176" s="577" t="s">
        <v>936</v>
      </c>
      <c r="D176" s="576">
        <v>52</v>
      </c>
      <c r="E176" s="578" t="s">
        <v>937</v>
      </c>
      <c r="F176" s="579" t="s">
        <v>78</v>
      </c>
      <c r="G176" s="580">
        <v>55000</v>
      </c>
      <c r="H176" s="581" t="s">
        <v>2413</v>
      </c>
    </row>
    <row r="177" spans="1:8" ht="19.5" thickBot="1">
      <c r="A177" s="576">
        <v>4460</v>
      </c>
      <c r="B177" s="576" t="s">
        <v>683</v>
      </c>
      <c r="C177" s="577" t="s">
        <v>935</v>
      </c>
      <c r="D177" s="576">
        <v>61</v>
      </c>
      <c r="E177" s="578" t="s">
        <v>720</v>
      </c>
      <c r="F177" s="579" t="s">
        <v>78</v>
      </c>
      <c r="G177" s="580">
        <v>175000</v>
      </c>
      <c r="H177" s="581" t="s">
        <v>2413</v>
      </c>
    </row>
    <row r="178" spans="1:8" ht="19.5" thickBot="1">
      <c r="A178" s="576">
        <v>4460</v>
      </c>
      <c r="B178" s="576" t="s">
        <v>683</v>
      </c>
      <c r="C178" s="577" t="s">
        <v>941</v>
      </c>
      <c r="D178" s="576">
        <v>52</v>
      </c>
      <c r="E178" s="578" t="s">
        <v>942</v>
      </c>
      <c r="F178" s="579" t="s">
        <v>78</v>
      </c>
      <c r="G178" s="580">
        <v>300000</v>
      </c>
      <c r="H178" s="581" t="s">
        <v>2413</v>
      </c>
    </row>
    <row r="179" spans="1:8" ht="19.5" thickBot="1">
      <c r="A179" s="576">
        <v>4460</v>
      </c>
      <c r="B179" s="576" t="s">
        <v>683</v>
      </c>
      <c r="C179" s="577" t="s">
        <v>943</v>
      </c>
      <c r="D179" s="576">
        <v>62</v>
      </c>
      <c r="E179" s="578" t="s">
        <v>944</v>
      </c>
      <c r="F179" s="579" t="s">
        <v>78</v>
      </c>
      <c r="G179" s="580">
        <v>790000</v>
      </c>
      <c r="H179" s="581" t="s">
        <v>2413</v>
      </c>
    </row>
    <row r="180" spans="1:8" ht="19.5" thickBot="1">
      <c r="A180" s="602" t="s">
        <v>4129</v>
      </c>
      <c r="B180" s="603"/>
      <c r="C180" s="603"/>
      <c r="D180" s="603"/>
      <c r="E180" s="603"/>
      <c r="F180" s="603"/>
      <c r="G180" s="603"/>
      <c r="H180" s="604"/>
    </row>
    <row r="181" spans="1:8" ht="19.5" thickBot="1">
      <c r="A181" s="576">
        <v>4520</v>
      </c>
      <c r="B181" s="576" t="s">
        <v>157</v>
      </c>
      <c r="C181" s="577" t="s">
        <v>947</v>
      </c>
      <c r="D181" s="576">
        <v>52</v>
      </c>
      <c r="E181" s="578" t="s">
        <v>948</v>
      </c>
      <c r="F181" s="579" t="s">
        <v>78</v>
      </c>
      <c r="G181" s="580">
        <v>28000</v>
      </c>
      <c r="H181" s="581" t="s">
        <v>2414</v>
      </c>
    </row>
    <row r="182" spans="1:8" ht="19.5" thickBot="1">
      <c r="A182" s="576">
        <v>4520</v>
      </c>
      <c r="B182" s="576" t="s">
        <v>157</v>
      </c>
      <c r="C182" s="577" t="s">
        <v>949</v>
      </c>
      <c r="D182" s="576">
        <v>62</v>
      </c>
      <c r="E182" s="578" t="s">
        <v>950</v>
      </c>
      <c r="F182" s="579" t="s">
        <v>78</v>
      </c>
      <c r="G182" s="580">
        <v>25000</v>
      </c>
      <c r="H182" s="581" t="s">
        <v>2414</v>
      </c>
    </row>
    <row r="183" spans="1:8" ht="19.5" thickBot="1">
      <c r="A183" s="576">
        <v>4520</v>
      </c>
      <c r="B183" s="576" t="s">
        <v>4259</v>
      </c>
      <c r="C183" s="577" t="s">
        <v>4260</v>
      </c>
      <c r="D183" s="576">
        <v>62</v>
      </c>
      <c r="E183" s="578" t="s">
        <v>4261</v>
      </c>
      <c r="F183" s="579" t="s">
        <v>78</v>
      </c>
      <c r="G183" s="580">
        <v>3000000</v>
      </c>
      <c r="H183" s="581"/>
    </row>
    <row r="184" spans="1:8" ht="19.5" thickBot="1">
      <c r="A184" s="576">
        <v>4520</v>
      </c>
      <c r="B184" s="576" t="s">
        <v>157</v>
      </c>
      <c r="C184" s="577" t="s">
        <v>951</v>
      </c>
      <c r="D184" s="576">
        <v>55</v>
      </c>
      <c r="E184" s="578" t="s">
        <v>952</v>
      </c>
      <c r="F184" s="579" t="s">
        <v>48</v>
      </c>
      <c r="G184" s="580">
        <v>8500</v>
      </c>
      <c r="H184" s="581" t="s">
        <v>2414</v>
      </c>
    </row>
    <row r="185" spans="1:8" ht="19.5" thickBot="1">
      <c r="A185" s="602" t="s">
        <v>4130</v>
      </c>
      <c r="B185" s="603"/>
      <c r="C185" s="603"/>
      <c r="D185" s="603"/>
      <c r="E185" s="603"/>
      <c r="F185" s="603"/>
      <c r="G185" s="603"/>
      <c r="H185" s="604"/>
    </row>
    <row r="186" spans="1:8" ht="19.5" thickBot="1">
      <c r="A186" s="576">
        <v>4610</v>
      </c>
      <c r="B186" s="576" t="s">
        <v>256</v>
      </c>
      <c r="C186" s="577" t="s">
        <v>954</v>
      </c>
      <c r="D186" s="576">
        <v>58</v>
      </c>
      <c r="E186" s="578" t="s">
        <v>955</v>
      </c>
      <c r="F186" s="579" t="s">
        <v>78</v>
      </c>
      <c r="G186" s="580">
        <v>22000</v>
      </c>
      <c r="H186" s="581" t="s">
        <v>2415</v>
      </c>
    </row>
    <row r="187" spans="1:8" ht="19.5" thickBot="1">
      <c r="A187" s="576">
        <v>4610</v>
      </c>
      <c r="B187" s="576" t="s">
        <v>256</v>
      </c>
      <c r="C187" s="577" t="s">
        <v>956</v>
      </c>
      <c r="D187" s="576">
        <v>54</v>
      </c>
      <c r="E187" s="578" t="s">
        <v>957</v>
      </c>
      <c r="F187" s="579" t="s">
        <v>78</v>
      </c>
      <c r="G187" s="580">
        <v>24000</v>
      </c>
      <c r="H187" s="581" t="s">
        <v>2415</v>
      </c>
    </row>
    <row r="188" spans="1:8" ht="19.5" thickBot="1">
      <c r="A188" s="576">
        <v>4630</v>
      </c>
      <c r="B188" s="576" t="s">
        <v>256</v>
      </c>
      <c r="C188" s="577" t="s">
        <v>958</v>
      </c>
      <c r="D188" s="576">
        <v>55</v>
      </c>
      <c r="E188" s="578" t="s">
        <v>959</v>
      </c>
      <c r="F188" s="579" t="s">
        <v>78</v>
      </c>
      <c r="G188" s="580">
        <v>37000</v>
      </c>
      <c r="H188" s="581" t="s">
        <v>2418</v>
      </c>
    </row>
    <row r="189" spans="1:8" ht="19.5" thickBot="1">
      <c r="A189" s="576">
        <v>4630</v>
      </c>
      <c r="B189" s="576" t="s">
        <v>157</v>
      </c>
      <c r="C189" s="577" t="s">
        <v>960</v>
      </c>
      <c r="D189" s="576">
        <v>54</v>
      </c>
      <c r="E189" s="578" t="s">
        <v>961</v>
      </c>
      <c r="F189" s="579" t="s">
        <v>78</v>
      </c>
      <c r="G189" s="580">
        <v>25000</v>
      </c>
      <c r="H189" s="581" t="s">
        <v>2418</v>
      </c>
    </row>
    <row r="190" spans="1:8" ht="19.5" thickBot="1">
      <c r="A190" s="576">
        <v>4630</v>
      </c>
      <c r="B190" s="576" t="s">
        <v>256</v>
      </c>
      <c r="C190" s="577" t="s">
        <v>962</v>
      </c>
      <c r="D190" s="576">
        <v>55</v>
      </c>
      <c r="E190" s="578" t="s">
        <v>963</v>
      </c>
      <c r="F190" s="579" t="s">
        <v>78</v>
      </c>
      <c r="G190" s="580">
        <v>250000</v>
      </c>
      <c r="H190" s="581" t="s">
        <v>2418</v>
      </c>
    </row>
    <row r="191" spans="1:8" ht="19.5" thickBot="1">
      <c r="A191" s="602" t="s">
        <v>4131</v>
      </c>
      <c r="B191" s="603"/>
      <c r="C191" s="603"/>
      <c r="D191" s="603"/>
      <c r="E191" s="603"/>
      <c r="F191" s="603"/>
      <c r="G191" s="603"/>
      <c r="H191" s="604"/>
    </row>
    <row r="192" spans="1:8" ht="19.5" thickBot="1">
      <c r="A192" s="576">
        <v>4910</v>
      </c>
      <c r="B192" s="576" t="s">
        <v>157</v>
      </c>
      <c r="C192" s="577" t="s">
        <v>966</v>
      </c>
      <c r="D192" s="576">
        <v>53</v>
      </c>
      <c r="E192" s="578" t="s">
        <v>967</v>
      </c>
      <c r="F192" s="579" t="s">
        <v>78</v>
      </c>
      <c r="G192" s="580">
        <v>165000</v>
      </c>
      <c r="H192" s="581" t="s">
        <v>2419</v>
      </c>
    </row>
    <row r="193" spans="1:8" ht="19.5" thickBot="1">
      <c r="A193" s="576">
        <v>4930</v>
      </c>
      <c r="B193" s="576" t="s">
        <v>157</v>
      </c>
      <c r="C193" s="577" t="s">
        <v>968</v>
      </c>
      <c r="D193" s="576">
        <v>53</v>
      </c>
      <c r="E193" s="578" t="s">
        <v>969</v>
      </c>
      <c r="F193" s="579" t="s">
        <v>78</v>
      </c>
      <c r="G193" s="580">
        <v>27000</v>
      </c>
      <c r="H193" s="581" t="s">
        <v>2422</v>
      </c>
    </row>
    <row r="194" spans="1:8" ht="19.5" thickBot="1">
      <c r="A194" s="576">
        <v>4930</v>
      </c>
      <c r="B194" s="576" t="s">
        <v>157</v>
      </c>
      <c r="C194" s="577" t="s">
        <v>970</v>
      </c>
      <c r="D194" s="576">
        <v>53</v>
      </c>
      <c r="E194" s="578" t="s">
        <v>971</v>
      </c>
      <c r="F194" s="579" t="s">
        <v>78</v>
      </c>
      <c r="G194" s="580">
        <v>25000</v>
      </c>
      <c r="H194" s="581" t="s">
        <v>2422</v>
      </c>
    </row>
    <row r="195" spans="1:8" ht="19.5" thickBot="1">
      <c r="A195" s="602" t="s">
        <v>4132</v>
      </c>
      <c r="B195" s="603"/>
      <c r="C195" s="603"/>
      <c r="D195" s="603"/>
      <c r="E195" s="603"/>
      <c r="F195" s="603"/>
      <c r="G195" s="603"/>
      <c r="H195" s="604"/>
    </row>
    <row r="196" spans="1:8" ht="19.5" thickBot="1">
      <c r="A196" s="576">
        <v>5110</v>
      </c>
      <c r="B196" s="576" t="s">
        <v>37</v>
      </c>
      <c r="C196" s="577" t="s">
        <v>972</v>
      </c>
      <c r="D196" s="576">
        <v>53</v>
      </c>
      <c r="E196" s="578" t="s">
        <v>973</v>
      </c>
      <c r="F196" s="579" t="s">
        <v>78</v>
      </c>
      <c r="G196" s="580">
        <v>80000</v>
      </c>
      <c r="H196" s="581" t="s">
        <v>2425</v>
      </c>
    </row>
    <row r="197" spans="1:8" ht="19.5" thickBot="1">
      <c r="A197" s="576">
        <v>5120</v>
      </c>
      <c r="B197" s="576" t="s">
        <v>157</v>
      </c>
      <c r="C197" s="577" t="s">
        <v>974</v>
      </c>
      <c r="D197" s="576">
        <v>52</v>
      </c>
      <c r="E197" s="578" t="s">
        <v>975</v>
      </c>
      <c r="F197" s="579" t="s">
        <v>53</v>
      </c>
      <c r="G197" s="580">
        <v>15000</v>
      </c>
      <c r="H197" s="581" t="s">
        <v>2426</v>
      </c>
    </row>
    <row r="198" spans="1:8" ht="19.5" thickBot="1">
      <c r="A198" s="576">
        <v>5120</v>
      </c>
      <c r="B198" s="576" t="s">
        <v>37</v>
      </c>
      <c r="C198" s="577" t="s">
        <v>4191</v>
      </c>
      <c r="D198" s="576">
        <v>62</v>
      </c>
      <c r="E198" s="578" t="s">
        <v>978</v>
      </c>
      <c r="F198" s="579" t="s">
        <v>78</v>
      </c>
      <c r="G198" s="580">
        <v>210000</v>
      </c>
      <c r="H198" s="581">
        <v>5120</v>
      </c>
    </row>
    <row r="199" spans="1:8" ht="19.5" thickBot="1">
      <c r="A199" s="576">
        <v>5120</v>
      </c>
      <c r="B199" s="576" t="s">
        <v>157</v>
      </c>
      <c r="C199" s="577" t="s">
        <v>979</v>
      </c>
      <c r="D199" s="576">
        <v>52</v>
      </c>
      <c r="E199" s="578" t="s">
        <v>980</v>
      </c>
      <c r="F199" s="579" t="s">
        <v>48</v>
      </c>
      <c r="G199" s="580">
        <v>6500</v>
      </c>
      <c r="H199" s="581" t="s">
        <v>2426</v>
      </c>
    </row>
    <row r="200" spans="1:8" ht="19.5" thickBot="1">
      <c r="A200" s="576">
        <v>5120</v>
      </c>
      <c r="B200" s="576" t="s">
        <v>157</v>
      </c>
      <c r="C200" s="577" t="s">
        <v>981</v>
      </c>
      <c r="D200" s="576">
        <v>54</v>
      </c>
      <c r="E200" s="578" t="s">
        <v>982</v>
      </c>
      <c r="F200" s="579" t="s">
        <v>48</v>
      </c>
      <c r="G200" s="580">
        <v>7500</v>
      </c>
      <c r="H200" s="581" t="s">
        <v>2426</v>
      </c>
    </row>
    <row r="201" spans="1:8" ht="38.25" thickBot="1">
      <c r="A201" s="537" t="s">
        <v>10</v>
      </c>
      <c r="B201" s="537" t="s">
        <v>2</v>
      </c>
      <c r="C201" s="537" t="s">
        <v>3</v>
      </c>
      <c r="D201" s="537" t="s">
        <v>4</v>
      </c>
      <c r="E201" s="537" t="s">
        <v>2754</v>
      </c>
      <c r="F201" s="538" t="s">
        <v>3600</v>
      </c>
      <c r="G201" s="538" t="s">
        <v>7</v>
      </c>
      <c r="H201" s="538" t="s">
        <v>8</v>
      </c>
    </row>
    <row r="202" spans="1:8" ht="19.5" thickBot="1">
      <c r="A202" s="576">
        <v>5120</v>
      </c>
      <c r="B202" s="576" t="s">
        <v>157</v>
      </c>
      <c r="C202" s="577" t="s">
        <v>985</v>
      </c>
      <c r="D202" s="576">
        <v>53</v>
      </c>
      <c r="E202" s="578" t="s">
        <v>984</v>
      </c>
      <c r="F202" s="579" t="s">
        <v>48</v>
      </c>
      <c r="G202" s="580">
        <v>28000</v>
      </c>
      <c r="H202" s="581" t="s">
        <v>2426</v>
      </c>
    </row>
    <row r="203" spans="1:8" ht="19.5" thickBot="1">
      <c r="A203" s="576">
        <v>5120</v>
      </c>
      <c r="B203" s="576" t="s">
        <v>157</v>
      </c>
      <c r="C203" s="577" t="s">
        <v>985</v>
      </c>
      <c r="D203" s="576">
        <v>54</v>
      </c>
      <c r="E203" s="578" t="s">
        <v>986</v>
      </c>
      <c r="F203" s="579" t="s">
        <v>48</v>
      </c>
      <c r="G203" s="580">
        <v>15000</v>
      </c>
      <c r="H203" s="581" t="s">
        <v>2426</v>
      </c>
    </row>
    <row r="204" spans="1:8" ht="19.5" thickBot="1">
      <c r="A204" s="576">
        <v>5120</v>
      </c>
      <c r="B204" s="576" t="s">
        <v>157</v>
      </c>
      <c r="C204" s="577" t="s">
        <v>990</v>
      </c>
      <c r="D204" s="576">
        <v>54</v>
      </c>
      <c r="E204" s="578" t="s">
        <v>991</v>
      </c>
      <c r="F204" s="579" t="s">
        <v>48</v>
      </c>
      <c r="G204" s="580">
        <v>28000</v>
      </c>
      <c r="H204" s="581" t="s">
        <v>2426</v>
      </c>
    </row>
    <row r="205" spans="1:8" ht="19.5" thickBot="1">
      <c r="A205" s="576">
        <v>5120</v>
      </c>
      <c r="B205" s="576" t="s">
        <v>157</v>
      </c>
      <c r="C205" s="577" t="s">
        <v>987</v>
      </c>
      <c r="D205" s="576">
        <v>54</v>
      </c>
      <c r="E205" s="578" t="s">
        <v>989</v>
      </c>
      <c r="F205" s="579" t="s">
        <v>48</v>
      </c>
      <c r="G205" s="580">
        <v>65000</v>
      </c>
      <c r="H205" s="581" t="s">
        <v>2426</v>
      </c>
    </row>
    <row r="206" spans="1:8" s="440" customFormat="1" ht="19.5" thickBot="1">
      <c r="A206" s="576">
        <v>5130</v>
      </c>
      <c r="B206" s="576" t="s">
        <v>191</v>
      </c>
      <c r="C206" s="577" t="s">
        <v>992</v>
      </c>
      <c r="D206" s="576">
        <v>59</v>
      </c>
      <c r="E206" s="578" t="s">
        <v>993</v>
      </c>
      <c r="F206" s="579" t="s">
        <v>78</v>
      </c>
      <c r="G206" s="580">
        <v>15000</v>
      </c>
      <c r="H206" s="581" t="s">
        <v>2427</v>
      </c>
    </row>
    <row r="207" spans="1:8" ht="19.5" thickBot="1">
      <c r="A207" s="576">
        <v>5130</v>
      </c>
      <c r="B207" s="576" t="s">
        <v>191</v>
      </c>
      <c r="C207" s="577" t="s">
        <v>995</v>
      </c>
      <c r="D207" s="576">
        <v>59</v>
      </c>
      <c r="E207" s="578" t="s">
        <v>997</v>
      </c>
      <c r="F207" s="579" t="s">
        <v>78</v>
      </c>
      <c r="G207" s="580">
        <v>19500</v>
      </c>
      <c r="H207" s="581" t="s">
        <v>2427</v>
      </c>
    </row>
    <row r="208" spans="1:8" ht="19.5" thickBot="1">
      <c r="A208" s="576">
        <v>5130</v>
      </c>
      <c r="B208" s="576" t="s">
        <v>191</v>
      </c>
      <c r="C208" s="577" t="s">
        <v>998</v>
      </c>
      <c r="D208" s="576">
        <v>55</v>
      </c>
      <c r="E208" s="578" t="s">
        <v>999</v>
      </c>
      <c r="F208" s="579" t="s">
        <v>78</v>
      </c>
      <c r="G208" s="580">
        <v>13700</v>
      </c>
      <c r="H208" s="581" t="s">
        <v>2427</v>
      </c>
    </row>
    <row r="209" spans="1:8" ht="19.5" thickBot="1">
      <c r="A209" s="576">
        <v>5130</v>
      </c>
      <c r="B209" s="576" t="s">
        <v>157</v>
      </c>
      <c r="C209" s="577" t="s">
        <v>1000</v>
      </c>
      <c r="D209" s="576">
        <v>54</v>
      </c>
      <c r="E209" s="578" t="s">
        <v>1001</v>
      </c>
      <c r="F209" s="579" t="s">
        <v>78</v>
      </c>
      <c r="G209" s="580">
        <v>5500</v>
      </c>
      <c r="H209" s="581" t="s">
        <v>2427</v>
      </c>
    </row>
    <row r="210" spans="1:8" s="440" customFormat="1" ht="19.5" thickBot="1">
      <c r="A210" s="576">
        <v>5130</v>
      </c>
      <c r="B210" s="576" t="s">
        <v>191</v>
      </c>
      <c r="C210" s="577" t="s">
        <v>1002</v>
      </c>
      <c r="D210" s="576">
        <v>58</v>
      </c>
      <c r="E210" s="578" t="s">
        <v>1003</v>
      </c>
      <c r="F210" s="579" t="s">
        <v>78</v>
      </c>
      <c r="G210" s="580">
        <v>6300</v>
      </c>
      <c r="H210" s="581" t="s">
        <v>2427</v>
      </c>
    </row>
    <row r="211" spans="1:8" ht="19.5" thickBot="1">
      <c r="A211" s="576">
        <v>5130</v>
      </c>
      <c r="B211" s="576" t="s">
        <v>191</v>
      </c>
      <c r="C211" s="577" t="s">
        <v>1004</v>
      </c>
      <c r="D211" s="576">
        <v>55</v>
      </c>
      <c r="E211" s="578" t="s">
        <v>1005</v>
      </c>
      <c r="F211" s="579" t="s">
        <v>78</v>
      </c>
      <c r="G211" s="580">
        <v>21200</v>
      </c>
      <c r="H211" s="581" t="s">
        <v>2427</v>
      </c>
    </row>
    <row r="212" spans="1:8" ht="19.5" thickBot="1">
      <c r="A212" s="576">
        <v>5130</v>
      </c>
      <c r="B212" s="576" t="s">
        <v>191</v>
      </c>
      <c r="C212" s="577" t="s">
        <v>1006</v>
      </c>
      <c r="D212" s="576">
        <v>57</v>
      </c>
      <c r="E212" s="578" t="s">
        <v>1007</v>
      </c>
      <c r="F212" s="579" t="s">
        <v>78</v>
      </c>
      <c r="G212" s="580">
        <v>17500</v>
      </c>
      <c r="H212" s="581" t="s">
        <v>2427</v>
      </c>
    </row>
    <row r="213" spans="1:8" ht="19.5" thickBot="1">
      <c r="A213" s="576">
        <v>5130</v>
      </c>
      <c r="B213" s="576" t="s">
        <v>191</v>
      </c>
      <c r="C213" s="577" t="s">
        <v>1008</v>
      </c>
      <c r="D213" s="576">
        <v>55</v>
      </c>
      <c r="E213" s="578" t="s">
        <v>1009</v>
      </c>
      <c r="F213" s="579" t="s">
        <v>78</v>
      </c>
      <c r="G213" s="580">
        <v>4500</v>
      </c>
      <c r="H213" s="581" t="s">
        <v>2427</v>
      </c>
    </row>
    <row r="214" spans="1:8" s="440" customFormat="1" ht="19.5" thickBot="1">
      <c r="A214" s="576">
        <v>5130</v>
      </c>
      <c r="B214" s="576" t="s">
        <v>256</v>
      </c>
      <c r="C214" s="577" t="s">
        <v>1010</v>
      </c>
      <c r="D214" s="576">
        <v>53</v>
      </c>
      <c r="E214" s="578" t="s">
        <v>1011</v>
      </c>
      <c r="F214" s="579" t="s">
        <v>78</v>
      </c>
      <c r="G214" s="580">
        <v>9000</v>
      </c>
      <c r="H214" s="581" t="s">
        <v>2427</v>
      </c>
    </row>
    <row r="215" spans="1:8" ht="19.5" thickBot="1">
      <c r="A215" s="576">
        <v>5130</v>
      </c>
      <c r="B215" s="576" t="s">
        <v>191</v>
      </c>
      <c r="C215" s="577" t="s">
        <v>1012</v>
      </c>
      <c r="D215" s="576">
        <v>53</v>
      </c>
      <c r="E215" s="578" t="s">
        <v>1013</v>
      </c>
      <c r="F215" s="579" t="s">
        <v>78</v>
      </c>
      <c r="G215" s="580">
        <v>5600</v>
      </c>
      <c r="H215" s="581" t="s">
        <v>2427</v>
      </c>
    </row>
    <row r="216" spans="1:8" s="440" customFormat="1" ht="19.5" thickBot="1">
      <c r="A216" s="576">
        <v>5130</v>
      </c>
      <c r="B216" s="576" t="s">
        <v>191</v>
      </c>
      <c r="C216" s="577" t="s">
        <v>1014</v>
      </c>
      <c r="D216" s="576">
        <v>53</v>
      </c>
      <c r="E216" s="578" t="s">
        <v>1015</v>
      </c>
      <c r="F216" s="579" t="s">
        <v>78</v>
      </c>
      <c r="G216" s="580">
        <v>6900</v>
      </c>
      <c r="H216" s="581" t="s">
        <v>2427</v>
      </c>
    </row>
    <row r="217" spans="1:8" ht="19.5" thickBot="1">
      <c r="A217" s="576">
        <v>5130</v>
      </c>
      <c r="B217" s="576" t="s">
        <v>191</v>
      </c>
      <c r="C217" s="577" t="s">
        <v>1016</v>
      </c>
      <c r="D217" s="576">
        <v>55</v>
      </c>
      <c r="E217" s="578" t="s">
        <v>1017</v>
      </c>
      <c r="F217" s="579" t="s">
        <v>78</v>
      </c>
      <c r="G217" s="580">
        <v>6500</v>
      </c>
      <c r="H217" s="581" t="s">
        <v>2427</v>
      </c>
    </row>
    <row r="218" spans="1:8" ht="19.5" thickBot="1">
      <c r="A218" s="576">
        <v>5130</v>
      </c>
      <c r="B218" s="576" t="s">
        <v>191</v>
      </c>
      <c r="C218" s="577" t="s">
        <v>1018</v>
      </c>
      <c r="D218" s="576">
        <v>55</v>
      </c>
      <c r="E218" s="578" t="s">
        <v>1019</v>
      </c>
      <c r="F218" s="579" t="s">
        <v>78</v>
      </c>
      <c r="G218" s="580">
        <v>10800</v>
      </c>
      <c r="H218" s="581" t="s">
        <v>2427</v>
      </c>
    </row>
    <row r="219" spans="1:8" ht="19.5" thickBot="1">
      <c r="A219" s="576">
        <v>5130</v>
      </c>
      <c r="B219" s="576" t="s">
        <v>191</v>
      </c>
      <c r="C219" s="577" t="s">
        <v>1020</v>
      </c>
      <c r="D219" s="576">
        <v>53</v>
      </c>
      <c r="E219" s="578" t="s">
        <v>1021</v>
      </c>
      <c r="F219" s="579" t="s">
        <v>78</v>
      </c>
      <c r="G219" s="580">
        <v>11500</v>
      </c>
      <c r="H219" s="581" t="s">
        <v>2427</v>
      </c>
    </row>
    <row r="220" spans="1:8" ht="19.5" thickBot="1">
      <c r="A220" s="576">
        <v>5130</v>
      </c>
      <c r="B220" s="576" t="s">
        <v>191</v>
      </c>
      <c r="C220" s="577" t="s">
        <v>1022</v>
      </c>
      <c r="D220" s="576">
        <v>52</v>
      </c>
      <c r="E220" s="578" t="s">
        <v>1023</v>
      </c>
      <c r="F220" s="579" t="s">
        <v>78</v>
      </c>
      <c r="G220" s="580">
        <v>12500</v>
      </c>
      <c r="H220" s="581" t="s">
        <v>2427</v>
      </c>
    </row>
    <row r="221" spans="1:8" ht="24" customHeight="1" thickBot="1">
      <c r="A221" s="576">
        <v>5133</v>
      </c>
      <c r="B221" s="576" t="s">
        <v>157</v>
      </c>
      <c r="C221" s="577" t="s">
        <v>1024</v>
      </c>
      <c r="D221" s="576">
        <v>53</v>
      </c>
      <c r="E221" s="578" t="s">
        <v>1025</v>
      </c>
      <c r="F221" s="579" t="s">
        <v>53</v>
      </c>
      <c r="G221" s="580">
        <v>4500</v>
      </c>
      <c r="H221" s="581" t="s">
        <v>2428</v>
      </c>
    </row>
    <row r="222" spans="1:8" ht="19.5" thickBot="1">
      <c r="A222" s="576">
        <v>5180</v>
      </c>
      <c r="B222" s="576" t="s">
        <v>157</v>
      </c>
      <c r="C222" s="577" t="s">
        <v>1026</v>
      </c>
      <c r="D222" s="576">
        <v>54</v>
      </c>
      <c r="E222" s="578" t="s">
        <v>1027</v>
      </c>
      <c r="F222" s="579" t="s">
        <v>53</v>
      </c>
      <c r="G222" s="580">
        <v>28000</v>
      </c>
      <c r="H222" s="581" t="s">
        <v>2431</v>
      </c>
    </row>
    <row r="223" spans="1:8" ht="19.5" thickBot="1">
      <c r="A223" s="602" t="s">
        <v>4133</v>
      </c>
      <c r="B223" s="603"/>
      <c r="C223" s="603"/>
      <c r="D223" s="603"/>
      <c r="E223" s="603"/>
      <c r="F223" s="603"/>
      <c r="G223" s="603"/>
      <c r="H223" s="604"/>
    </row>
    <row r="224" spans="1:8" ht="19.5" thickBot="1">
      <c r="A224" s="576">
        <v>5345</v>
      </c>
      <c r="B224" s="576" t="s">
        <v>157</v>
      </c>
      <c r="C224" s="577" t="s">
        <v>1028</v>
      </c>
      <c r="D224" s="576">
        <v>52</v>
      </c>
      <c r="E224" s="578" t="s">
        <v>1029</v>
      </c>
      <c r="F224" s="579" t="s">
        <v>48</v>
      </c>
      <c r="G224" s="580">
        <v>6500</v>
      </c>
      <c r="H224" s="581" t="s">
        <v>2436</v>
      </c>
    </row>
    <row r="225" spans="1:8" ht="19.5" thickBot="1">
      <c r="A225" s="576">
        <v>5345</v>
      </c>
      <c r="B225" s="576" t="s">
        <v>157</v>
      </c>
      <c r="C225" s="577" t="s">
        <v>1030</v>
      </c>
      <c r="D225" s="576">
        <v>53</v>
      </c>
      <c r="E225" s="578" t="s">
        <v>1031</v>
      </c>
      <c r="F225" s="579" t="s">
        <v>48</v>
      </c>
      <c r="G225" s="580">
        <v>8500</v>
      </c>
      <c r="H225" s="581" t="s">
        <v>2436</v>
      </c>
    </row>
    <row r="226" spans="1:8" ht="24" customHeight="1" thickBot="1">
      <c r="A226" s="602" t="s">
        <v>4134</v>
      </c>
      <c r="B226" s="603"/>
      <c r="C226" s="603"/>
      <c r="D226" s="603"/>
      <c r="E226" s="603"/>
      <c r="F226" s="603"/>
      <c r="G226" s="603"/>
      <c r="H226" s="604"/>
    </row>
    <row r="227" spans="1:8" ht="21.75" customHeight="1" thickBot="1">
      <c r="A227" s="576">
        <v>5410</v>
      </c>
      <c r="B227" s="576" t="s">
        <v>191</v>
      </c>
      <c r="C227" s="577" t="s">
        <v>1032</v>
      </c>
      <c r="D227" s="576">
        <v>54</v>
      </c>
      <c r="E227" s="578" t="s">
        <v>1033</v>
      </c>
      <c r="F227" s="579" t="s">
        <v>358</v>
      </c>
      <c r="G227" s="580">
        <v>190000</v>
      </c>
      <c r="H227" s="581" t="s">
        <v>2439</v>
      </c>
    </row>
    <row r="228" spans="1:8" ht="21.75" customHeight="1" thickBot="1">
      <c r="A228" s="576">
        <v>5430</v>
      </c>
      <c r="B228" s="576" t="s">
        <v>256</v>
      </c>
      <c r="C228" s="577" t="s">
        <v>1036</v>
      </c>
      <c r="D228" s="576">
        <v>59</v>
      </c>
      <c r="E228" s="578" t="s">
        <v>1037</v>
      </c>
      <c r="F228" s="579" t="s">
        <v>433</v>
      </c>
      <c r="G228" s="580">
        <v>17000</v>
      </c>
      <c r="H228" s="581" t="s">
        <v>2442</v>
      </c>
    </row>
    <row r="229" spans="1:8" ht="19.5" thickBot="1">
      <c r="A229" s="602" t="s">
        <v>4135</v>
      </c>
      <c r="B229" s="603"/>
      <c r="C229" s="603"/>
      <c r="D229" s="603"/>
      <c r="E229" s="603"/>
      <c r="F229" s="603"/>
      <c r="G229" s="603"/>
      <c r="H229" s="604"/>
    </row>
    <row r="230" spans="1:8" ht="19.5" thickBot="1">
      <c r="A230" s="606">
        <v>5925</v>
      </c>
      <c r="B230" s="684" t="s">
        <v>37</v>
      </c>
      <c r="C230" s="608">
        <v>9525.0161290322576</v>
      </c>
      <c r="D230" s="576">
        <v>62</v>
      </c>
      <c r="E230" s="609" t="s">
        <v>4192</v>
      </c>
      <c r="F230" s="610" t="s">
        <v>1044</v>
      </c>
      <c r="G230" s="611">
        <v>21500</v>
      </c>
      <c r="H230" s="612">
        <v>5925</v>
      </c>
    </row>
    <row r="231" spans="1:8" ht="22.5" customHeight="1" thickBot="1">
      <c r="A231" s="576">
        <v>5925</v>
      </c>
      <c r="B231" s="576" t="s">
        <v>37</v>
      </c>
      <c r="C231" s="577" t="s">
        <v>1042</v>
      </c>
      <c r="D231" s="576">
        <v>60</v>
      </c>
      <c r="E231" s="578" t="s">
        <v>1043</v>
      </c>
      <c r="F231" s="579" t="s">
        <v>1044</v>
      </c>
      <c r="G231" s="580">
        <v>29000</v>
      </c>
      <c r="H231" s="581" t="s">
        <v>2452</v>
      </c>
    </row>
    <row r="232" spans="1:8" ht="19.5" thickBot="1">
      <c r="A232" s="602" t="s">
        <v>4136</v>
      </c>
      <c r="B232" s="603"/>
      <c r="C232" s="603"/>
      <c r="D232" s="603"/>
      <c r="E232" s="603"/>
      <c r="F232" s="603"/>
      <c r="G232" s="603"/>
      <c r="H232" s="604"/>
    </row>
    <row r="233" spans="1:8" ht="30.75" customHeight="1" thickBot="1">
      <c r="A233" s="576">
        <v>6110</v>
      </c>
      <c r="B233" s="576" t="s">
        <v>37</v>
      </c>
      <c r="C233" s="577" t="s">
        <v>1051</v>
      </c>
      <c r="D233" s="576">
        <v>53</v>
      </c>
      <c r="E233" s="578" t="s">
        <v>1052</v>
      </c>
      <c r="F233" s="579" t="s">
        <v>78</v>
      </c>
      <c r="G233" s="580">
        <v>350000</v>
      </c>
      <c r="H233" s="581" t="s">
        <v>2459</v>
      </c>
    </row>
    <row r="234" spans="1:8" ht="38.25" thickBot="1">
      <c r="A234" s="576">
        <v>6110</v>
      </c>
      <c r="B234" s="576" t="s">
        <v>37</v>
      </c>
      <c r="C234" s="577" t="s">
        <v>1053</v>
      </c>
      <c r="D234" s="576">
        <v>53</v>
      </c>
      <c r="E234" s="578" t="s">
        <v>1054</v>
      </c>
      <c r="F234" s="579" t="s">
        <v>78</v>
      </c>
      <c r="G234" s="580">
        <v>738000</v>
      </c>
      <c r="H234" s="581" t="s">
        <v>2459</v>
      </c>
    </row>
    <row r="235" spans="1:8" ht="38.25" thickBot="1">
      <c r="A235" s="576">
        <v>6110</v>
      </c>
      <c r="B235" s="576" t="s">
        <v>37</v>
      </c>
      <c r="C235" s="577" t="s">
        <v>1055</v>
      </c>
      <c r="D235" s="576">
        <v>58</v>
      </c>
      <c r="E235" s="578" t="s">
        <v>1056</v>
      </c>
      <c r="F235" s="579" t="s">
        <v>78</v>
      </c>
      <c r="G235" s="580">
        <v>180000</v>
      </c>
      <c r="H235" s="581" t="s">
        <v>2459</v>
      </c>
    </row>
    <row r="236" spans="1:8" ht="38.25" thickBot="1">
      <c r="A236" s="576">
        <v>6110</v>
      </c>
      <c r="B236" s="576" t="s">
        <v>37</v>
      </c>
      <c r="C236" s="577" t="s">
        <v>1057</v>
      </c>
      <c r="D236" s="576">
        <v>58</v>
      </c>
      <c r="E236" s="578" t="s">
        <v>1058</v>
      </c>
      <c r="F236" s="579" t="s">
        <v>78</v>
      </c>
      <c r="G236" s="580">
        <v>450000</v>
      </c>
      <c r="H236" s="581" t="s">
        <v>2459</v>
      </c>
    </row>
    <row r="237" spans="1:8" ht="38.25" thickBot="1">
      <c r="A237" s="576">
        <v>6110</v>
      </c>
      <c r="B237" s="576" t="s">
        <v>37</v>
      </c>
      <c r="C237" s="577" t="s">
        <v>1059</v>
      </c>
      <c r="D237" s="576">
        <v>58</v>
      </c>
      <c r="E237" s="578" t="s">
        <v>1060</v>
      </c>
      <c r="F237" s="579" t="s">
        <v>78</v>
      </c>
      <c r="G237" s="580">
        <v>350000</v>
      </c>
      <c r="H237" s="581" t="s">
        <v>2459</v>
      </c>
    </row>
    <row r="238" spans="1:8" ht="38.25" thickBot="1">
      <c r="A238" s="576">
        <v>6110</v>
      </c>
      <c r="B238" s="576" t="s">
        <v>37</v>
      </c>
      <c r="C238" s="577" t="s">
        <v>1061</v>
      </c>
      <c r="D238" s="576">
        <v>58</v>
      </c>
      <c r="E238" s="578" t="s">
        <v>1062</v>
      </c>
      <c r="F238" s="579" t="s">
        <v>78</v>
      </c>
      <c r="G238" s="580">
        <v>300000</v>
      </c>
      <c r="H238" s="581" t="s">
        <v>2459</v>
      </c>
    </row>
    <row r="239" spans="1:8" ht="38.25" thickBot="1">
      <c r="A239" s="576">
        <v>6110</v>
      </c>
      <c r="B239" s="576" t="s">
        <v>37</v>
      </c>
      <c r="C239" s="577" t="s">
        <v>1063</v>
      </c>
      <c r="D239" s="576">
        <v>58</v>
      </c>
      <c r="E239" s="578" t="s">
        <v>1064</v>
      </c>
      <c r="F239" s="579" t="s">
        <v>78</v>
      </c>
      <c r="G239" s="580">
        <v>450000</v>
      </c>
      <c r="H239" s="581" t="s">
        <v>2459</v>
      </c>
    </row>
    <row r="240" spans="1:8" ht="19.5" thickBot="1">
      <c r="A240" s="576">
        <v>6110</v>
      </c>
      <c r="B240" s="576" t="s">
        <v>37</v>
      </c>
      <c r="C240" s="577" t="s">
        <v>1065</v>
      </c>
      <c r="D240" s="576">
        <v>61</v>
      </c>
      <c r="E240" s="578" t="s">
        <v>1066</v>
      </c>
      <c r="F240" s="579" t="s">
        <v>78</v>
      </c>
      <c r="G240" s="580">
        <v>1500000</v>
      </c>
      <c r="H240" s="581" t="s">
        <v>2459</v>
      </c>
    </row>
    <row r="241" spans="1:8" ht="19.5" thickBot="1">
      <c r="A241" s="576">
        <v>6110</v>
      </c>
      <c r="B241" s="576" t="s">
        <v>37</v>
      </c>
      <c r="C241" s="577" t="s">
        <v>1067</v>
      </c>
      <c r="D241" s="576">
        <v>59</v>
      </c>
      <c r="E241" s="578" t="s">
        <v>4193</v>
      </c>
      <c r="F241" s="579" t="s">
        <v>78</v>
      </c>
      <c r="G241" s="580">
        <v>800000</v>
      </c>
      <c r="H241" s="581">
        <v>6110</v>
      </c>
    </row>
    <row r="242" spans="1:8" ht="19.5" thickBot="1">
      <c r="A242" s="576">
        <v>6110</v>
      </c>
      <c r="B242" s="576" t="s">
        <v>37</v>
      </c>
      <c r="C242" s="577" t="s">
        <v>1069</v>
      </c>
      <c r="D242" s="576">
        <v>60</v>
      </c>
      <c r="E242" s="578" t="s">
        <v>1070</v>
      </c>
      <c r="F242" s="579" t="s">
        <v>78</v>
      </c>
      <c r="G242" s="580">
        <v>1200000</v>
      </c>
      <c r="H242" s="581" t="s">
        <v>2459</v>
      </c>
    </row>
    <row r="243" spans="1:8" ht="19.5" thickBot="1">
      <c r="A243" s="576">
        <v>6110</v>
      </c>
      <c r="B243" s="576" t="s">
        <v>37</v>
      </c>
      <c r="C243" s="577" t="s">
        <v>1071</v>
      </c>
      <c r="D243" s="576">
        <v>56</v>
      </c>
      <c r="E243" s="578" t="s">
        <v>1072</v>
      </c>
      <c r="F243" s="579" t="s">
        <v>78</v>
      </c>
      <c r="G243" s="580">
        <v>1500000</v>
      </c>
      <c r="H243" s="581" t="s">
        <v>2459</v>
      </c>
    </row>
    <row r="244" spans="1:8" ht="19.5" thickBot="1">
      <c r="A244" s="576">
        <v>6110</v>
      </c>
      <c r="B244" s="576" t="s">
        <v>37</v>
      </c>
      <c r="C244" s="577" t="s">
        <v>1073</v>
      </c>
      <c r="D244" s="576">
        <v>55</v>
      </c>
      <c r="E244" s="578" t="s">
        <v>1074</v>
      </c>
      <c r="F244" s="579" t="s">
        <v>78</v>
      </c>
      <c r="G244" s="580">
        <v>1350000</v>
      </c>
      <c r="H244" s="581" t="s">
        <v>2459</v>
      </c>
    </row>
    <row r="245" spans="1:8" ht="19.5" thickBot="1">
      <c r="A245" s="576">
        <v>6110</v>
      </c>
      <c r="B245" s="576" t="s">
        <v>37</v>
      </c>
      <c r="C245" s="577" t="s">
        <v>1075</v>
      </c>
      <c r="D245" s="576">
        <v>57</v>
      </c>
      <c r="E245" s="578" t="s">
        <v>1076</v>
      </c>
      <c r="F245" s="579" t="s">
        <v>78</v>
      </c>
      <c r="G245" s="580">
        <v>1050000</v>
      </c>
      <c r="H245" s="581" t="s">
        <v>2459</v>
      </c>
    </row>
    <row r="246" spans="1:8" ht="19.5" thickBot="1">
      <c r="A246" s="576">
        <v>6115</v>
      </c>
      <c r="B246" s="576" t="s">
        <v>37</v>
      </c>
      <c r="C246" s="577" t="s">
        <v>1077</v>
      </c>
      <c r="D246" s="576">
        <v>58</v>
      </c>
      <c r="E246" s="578" t="s">
        <v>4244</v>
      </c>
      <c r="F246" s="579" t="s">
        <v>78</v>
      </c>
      <c r="G246" s="580">
        <v>260000</v>
      </c>
      <c r="H246" s="581" t="s">
        <v>2460</v>
      </c>
    </row>
    <row r="247" spans="1:8" ht="19.5" thickBot="1">
      <c r="A247" s="576">
        <v>6115</v>
      </c>
      <c r="B247" s="576" t="s">
        <v>37</v>
      </c>
      <c r="C247" s="577" t="s">
        <v>1080</v>
      </c>
      <c r="D247" s="576">
        <v>60</v>
      </c>
      <c r="E247" s="578" t="s">
        <v>782</v>
      </c>
      <c r="F247" s="579" t="s">
        <v>78</v>
      </c>
      <c r="G247" s="580">
        <v>670000</v>
      </c>
      <c r="H247" s="581" t="s">
        <v>2460</v>
      </c>
    </row>
    <row r="248" spans="1:8" ht="38.25" thickBot="1">
      <c r="A248" s="537" t="s">
        <v>10</v>
      </c>
      <c r="B248" s="537" t="s">
        <v>2</v>
      </c>
      <c r="C248" s="537" t="s">
        <v>3</v>
      </c>
      <c r="D248" s="537" t="s">
        <v>4</v>
      </c>
      <c r="E248" s="537" t="s">
        <v>2754</v>
      </c>
      <c r="F248" s="538" t="s">
        <v>3600</v>
      </c>
      <c r="G248" s="538" t="s">
        <v>7</v>
      </c>
      <c r="H248" s="538" t="s">
        <v>8</v>
      </c>
    </row>
    <row r="249" spans="1:8" ht="22.5" customHeight="1" thickBot="1">
      <c r="A249" s="576">
        <v>6115</v>
      </c>
      <c r="B249" s="576" t="s">
        <v>37</v>
      </c>
      <c r="C249" s="577" t="s">
        <v>1083</v>
      </c>
      <c r="D249" s="576">
        <v>60</v>
      </c>
      <c r="E249" s="578" t="s">
        <v>1084</v>
      </c>
      <c r="F249" s="579" t="s">
        <v>78</v>
      </c>
      <c r="G249" s="580">
        <v>758000</v>
      </c>
      <c r="H249" s="581" t="s">
        <v>2460</v>
      </c>
    </row>
    <row r="250" spans="1:8" ht="19.5" thickBot="1">
      <c r="A250" s="576">
        <v>6115</v>
      </c>
      <c r="B250" s="576" t="s">
        <v>37</v>
      </c>
      <c r="C250" s="577" t="s">
        <v>1088</v>
      </c>
      <c r="D250" s="576">
        <v>57</v>
      </c>
      <c r="E250" s="578" t="s">
        <v>1089</v>
      </c>
      <c r="F250" s="579" t="s">
        <v>78</v>
      </c>
      <c r="G250" s="580">
        <v>13000</v>
      </c>
      <c r="H250" s="581" t="s">
        <v>2460</v>
      </c>
    </row>
    <row r="251" spans="1:8" ht="19.5" thickBot="1">
      <c r="A251" s="576">
        <v>6115</v>
      </c>
      <c r="B251" s="576" t="s">
        <v>37</v>
      </c>
      <c r="C251" s="577" t="s">
        <v>1085</v>
      </c>
      <c r="D251" s="576">
        <v>54</v>
      </c>
      <c r="E251" s="578" t="s">
        <v>1086</v>
      </c>
      <c r="F251" s="579" t="s">
        <v>78</v>
      </c>
      <c r="G251" s="580">
        <v>150000</v>
      </c>
      <c r="H251" s="581" t="s">
        <v>2460</v>
      </c>
    </row>
    <row r="252" spans="1:8" ht="19.5" thickBot="1">
      <c r="A252" s="576">
        <v>6115</v>
      </c>
      <c r="B252" s="576" t="s">
        <v>37</v>
      </c>
      <c r="C252" s="577" t="s">
        <v>1090</v>
      </c>
      <c r="D252" s="576">
        <v>58</v>
      </c>
      <c r="E252" s="578" t="s">
        <v>1091</v>
      </c>
      <c r="F252" s="579" t="s">
        <v>78</v>
      </c>
      <c r="G252" s="580">
        <v>1400000</v>
      </c>
      <c r="H252" s="581" t="s">
        <v>2460</v>
      </c>
    </row>
    <row r="253" spans="1:8" ht="38.25" thickBot="1">
      <c r="A253" s="576">
        <v>6115</v>
      </c>
      <c r="B253" s="576" t="s">
        <v>37</v>
      </c>
      <c r="C253" s="577" t="s">
        <v>1092</v>
      </c>
      <c r="D253" s="576">
        <v>58</v>
      </c>
      <c r="E253" s="578" t="s">
        <v>1093</v>
      </c>
      <c r="F253" s="579" t="s">
        <v>78</v>
      </c>
      <c r="G253" s="580" t="s">
        <v>1094</v>
      </c>
      <c r="H253" s="581" t="s">
        <v>2460</v>
      </c>
    </row>
    <row r="254" spans="1:8" ht="38.25" thickBot="1">
      <c r="A254" s="576">
        <v>6115</v>
      </c>
      <c r="B254" s="576" t="s">
        <v>37</v>
      </c>
      <c r="C254" s="577" t="s">
        <v>1095</v>
      </c>
      <c r="D254" s="576">
        <v>58</v>
      </c>
      <c r="E254" s="578" t="s">
        <v>1096</v>
      </c>
      <c r="F254" s="579" t="s">
        <v>78</v>
      </c>
      <c r="G254" s="580">
        <v>1250000</v>
      </c>
      <c r="H254" s="581" t="s">
        <v>2460</v>
      </c>
    </row>
    <row r="255" spans="1:8" ht="19.5" thickBot="1">
      <c r="A255" s="576">
        <v>6115</v>
      </c>
      <c r="B255" s="576" t="s">
        <v>37</v>
      </c>
      <c r="C255" s="577" t="s">
        <v>1099</v>
      </c>
      <c r="D255" s="576">
        <v>55</v>
      </c>
      <c r="E255" s="578" t="s">
        <v>1100</v>
      </c>
      <c r="F255" s="579" t="s">
        <v>78</v>
      </c>
      <c r="G255" s="580">
        <v>27500</v>
      </c>
      <c r="H255" s="581" t="s">
        <v>2460</v>
      </c>
    </row>
    <row r="256" spans="1:8" ht="19.5" thickBot="1">
      <c r="A256" s="576">
        <v>6115</v>
      </c>
      <c r="B256" s="576" t="s">
        <v>37</v>
      </c>
      <c r="C256" s="577" t="s">
        <v>1107</v>
      </c>
      <c r="D256" s="576">
        <v>61</v>
      </c>
      <c r="E256" s="578" t="s">
        <v>787</v>
      </c>
      <c r="F256" s="579" t="s">
        <v>78</v>
      </c>
      <c r="G256" s="580">
        <v>57500</v>
      </c>
      <c r="H256" s="581" t="s">
        <v>2460</v>
      </c>
    </row>
    <row r="257" spans="1:8" ht="19.5" thickBot="1">
      <c r="A257" s="576">
        <v>6115</v>
      </c>
      <c r="B257" s="576" t="s">
        <v>37</v>
      </c>
      <c r="C257" s="577" t="s">
        <v>1097</v>
      </c>
      <c r="D257" s="576">
        <v>54</v>
      </c>
      <c r="E257" s="578" t="s">
        <v>1098</v>
      </c>
      <c r="F257" s="579" t="s">
        <v>78</v>
      </c>
      <c r="G257" s="580">
        <v>385000</v>
      </c>
      <c r="H257" s="581" t="s">
        <v>2460</v>
      </c>
    </row>
    <row r="258" spans="1:8" ht="19.5" thickBot="1">
      <c r="A258" s="576">
        <v>6115</v>
      </c>
      <c r="B258" s="576" t="s">
        <v>37</v>
      </c>
      <c r="C258" s="577" t="s">
        <v>1101</v>
      </c>
      <c r="D258" s="576">
        <v>53</v>
      </c>
      <c r="E258" s="578" t="s">
        <v>1102</v>
      </c>
      <c r="F258" s="579" t="s">
        <v>78</v>
      </c>
      <c r="G258" s="580">
        <v>2370000</v>
      </c>
      <c r="H258" s="581" t="s">
        <v>2460</v>
      </c>
    </row>
    <row r="259" spans="1:8" ht="19.5" thickBot="1">
      <c r="A259" s="576">
        <v>6115</v>
      </c>
      <c r="B259" s="576" t="s">
        <v>37</v>
      </c>
      <c r="C259" s="577" t="s">
        <v>1103</v>
      </c>
      <c r="D259" s="576">
        <v>53</v>
      </c>
      <c r="E259" s="578" t="s">
        <v>1104</v>
      </c>
      <c r="F259" s="579" t="s">
        <v>78</v>
      </c>
      <c r="G259" s="580">
        <v>3350000</v>
      </c>
      <c r="H259" s="581" t="s">
        <v>2460</v>
      </c>
    </row>
    <row r="260" spans="1:8" ht="19.5" thickBot="1">
      <c r="A260" s="576">
        <v>6115</v>
      </c>
      <c r="B260" s="576" t="s">
        <v>37</v>
      </c>
      <c r="C260" s="577" t="s">
        <v>1108</v>
      </c>
      <c r="D260" s="576">
        <v>59</v>
      </c>
      <c r="E260" s="578" t="s">
        <v>1109</v>
      </c>
      <c r="F260" s="579" t="s">
        <v>78</v>
      </c>
      <c r="G260" s="580">
        <v>8000000</v>
      </c>
      <c r="H260" s="581" t="s">
        <v>2460</v>
      </c>
    </row>
    <row r="261" spans="1:8" ht="24.75" customHeight="1" thickBot="1">
      <c r="A261" s="576">
        <v>6115</v>
      </c>
      <c r="B261" s="576" t="s">
        <v>37</v>
      </c>
      <c r="C261" s="577" t="s">
        <v>1115</v>
      </c>
      <c r="D261" s="576">
        <v>60</v>
      </c>
      <c r="E261" s="578" t="s">
        <v>1116</v>
      </c>
      <c r="F261" s="579" t="s">
        <v>78</v>
      </c>
      <c r="G261" s="580">
        <v>20000</v>
      </c>
      <c r="H261" s="581" t="s">
        <v>2460</v>
      </c>
    </row>
    <row r="262" spans="1:8" ht="24.75" customHeight="1" thickBot="1">
      <c r="A262" s="576">
        <v>6125</v>
      </c>
      <c r="B262" s="576" t="s">
        <v>372</v>
      </c>
      <c r="C262" s="577" t="s">
        <v>1120</v>
      </c>
      <c r="D262" s="576">
        <v>54</v>
      </c>
      <c r="E262" s="578" t="s">
        <v>1121</v>
      </c>
      <c r="F262" s="579" t="s">
        <v>78</v>
      </c>
      <c r="G262" s="580">
        <v>125000</v>
      </c>
      <c r="H262" s="581" t="s">
        <v>2462</v>
      </c>
    </row>
    <row r="263" spans="1:8" ht="19.5" thickBot="1">
      <c r="A263" s="576">
        <v>6125</v>
      </c>
      <c r="B263" s="576" t="s">
        <v>372</v>
      </c>
      <c r="C263" s="577" t="s">
        <v>1125</v>
      </c>
      <c r="D263" s="576">
        <v>54</v>
      </c>
      <c r="E263" s="578" t="s">
        <v>1126</v>
      </c>
      <c r="F263" s="579" t="s">
        <v>78</v>
      </c>
      <c r="G263" s="580">
        <v>72000</v>
      </c>
      <c r="H263" s="581" t="s">
        <v>2462</v>
      </c>
    </row>
    <row r="264" spans="1:8" ht="19.5" thickBot="1">
      <c r="A264" s="576">
        <v>6125</v>
      </c>
      <c r="B264" s="576" t="s">
        <v>37</v>
      </c>
      <c r="C264" s="577" t="s">
        <v>1127</v>
      </c>
      <c r="D264" s="576">
        <v>61</v>
      </c>
      <c r="E264" s="578" t="s">
        <v>1128</v>
      </c>
      <c r="F264" s="579" t="s">
        <v>78</v>
      </c>
      <c r="G264" s="580">
        <v>1150000</v>
      </c>
      <c r="H264" s="581" t="s">
        <v>2462</v>
      </c>
    </row>
    <row r="265" spans="1:8" ht="19.5" thickBot="1">
      <c r="A265" s="576">
        <v>6125</v>
      </c>
      <c r="B265" s="576" t="s">
        <v>37</v>
      </c>
      <c r="C265" s="577" t="s">
        <v>1129</v>
      </c>
      <c r="D265" s="576">
        <v>61</v>
      </c>
      <c r="E265" s="578" t="s">
        <v>1130</v>
      </c>
      <c r="F265" s="579" t="s">
        <v>78</v>
      </c>
      <c r="G265" s="580">
        <v>850000</v>
      </c>
      <c r="H265" s="581" t="s">
        <v>2462</v>
      </c>
    </row>
    <row r="266" spans="1:8" ht="24" customHeight="1" thickBot="1">
      <c r="A266" s="576">
        <v>6125</v>
      </c>
      <c r="B266" s="576" t="s">
        <v>372</v>
      </c>
      <c r="C266" s="577" t="s">
        <v>1131</v>
      </c>
      <c r="D266" s="576">
        <v>53</v>
      </c>
      <c r="E266" s="578" t="s">
        <v>1132</v>
      </c>
      <c r="F266" s="579" t="s">
        <v>78</v>
      </c>
      <c r="G266" s="580">
        <v>250000</v>
      </c>
      <c r="H266" s="581" t="s">
        <v>2462</v>
      </c>
    </row>
    <row r="267" spans="1:8" ht="24" customHeight="1" thickBot="1">
      <c r="A267" s="576">
        <v>6125</v>
      </c>
      <c r="B267" s="576" t="s">
        <v>372</v>
      </c>
      <c r="C267" s="577" t="s">
        <v>1133</v>
      </c>
      <c r="D267" s="576">
        <v>53</v>
      </c>
      <c r="E267" s="578" t="s">
        <v>1134</v>
      </c>
      <c r="F267" s="579" t="s">
        <v>78</v>
      </c>
      <c r="G267" s="580">
        <v>80000</v>
      </c>
      <c r="H267" s="581" t="s">
        <v>2462</v>
      </c>
    </row>
    <row r="268" spans="1:8" ht="19.5" thickBot="1">
      <c r="A268" s="576">
        <v>6125</v>
      </c>
      <c r="B268" s="576" t="s">
        <v>37</v>
      </c>
      <c r="C268" s="577" t="s">
        <v>1135</v>
      </c>
      <c r="D268" s="576">
        <v>55</v>
      </c>
      <c r="E268" s="578" t="s">
        <v>1136</v>
      </c>
      <c r="F268" s="579" t="s">
        <v>78</v>
      </c>
      <c r="G268" s="580">
        <v>1800000</v>
      </c>
      <c r="H268" s="581" t="s">
        <v>2462</v>
      </c>
    </row>
    <row r="269" spans="1:8" ht="19.5" thickBot="1">
      <c r="A269" s="576">
        <v>6125</v>
      </c>
      <c r="B269" s="576" t="s">
        <v>37</v>
      </c>
      <c r="C269" s="577" t="s">
        <v>1137</v>
      </c>
      <c r="D269" s="576">
        <v>55</v>
      </c>
      <c r="E269" s="578" t="s">
        <v>1138</v>
      </c>
      <c r="F269" s="579" t="s">
        <v>78</v>
      </c>
      <c r="G269" s="580">
        <v>2500000</v>
      </c>
      <c r="H269" s="581" t="s">
        <v>2462</v>
      </c>
    </row>
    <row r="270" spans="1:8" ht="19.5" thickBot="1">
      <c r="A270" s="576">
        <v>6130</v>
      </c>
      <c r="B270" s="576" t="s">
        <v>157</v>
      </c>
      <c r="C270" s="577" t="s">
        <v>1139</v>
      </c>
      <c r="D270" s="576">
        <v>56</v>
      </c>
      <c r="E270" s="578" t="s">
        <v>1140</v>
      </c>
      <c r="F270" s="579" t="s">
        <v>78</v>
      </c>
      <c r="G270" s="580">
        <v>9500</v>
      </c>
      <c r="H270" s="581" t="s">
        <v>2464</v>
      </c>
    </row>
    <row r="271" spans="1:8" ht="19.5" thickBot="1">
      <c r="A271" s="576">
        <v>6130</v>
      </c>
      <c r="B271" s="576" t="s">
        <v>157</v>
      </c>
      <c r="C271" s="577" t="s">
        <v>1141</v>
      </c>
      <c r="D271" s="576">
        <v>54</v>
      </c>
      <c r="E271" s="578" t="s">
        <v>1142</v>
      </c>
      <c r="F271" s="579" t="s">
        <v>78</v>
      </c>
      <c r="G271" s="580">
        <v>12500</v>
      </c>
      <c r="H271" s="581" t="s">
        <v>2464</v>
      </c>
    </row>
    <row r="272" spans="1:8" ht="19.5" thickBot="1">
      <c r="A272" s="576">
        <v>6130</v>
      </c>
      <c r="B272" s="576" t="s">
        <v>372</v>
      </c>
      <c r="C272" s="577" t="s">
        <v>1143</v>
      </c>
      <c r="D272" s="576">
        <v>56</v>
      </c>
      <c r="E272" s="578" t="s">
        <v>1144</v>
      </c>
      <c r="F272" s="579" t="s">
        <v>78</v>
      </c>
      <c r="G272" s="580">
        <v>27200</v>
      </c>
      <c r="H272" s="581" t="s">
        <v>2464</v>
      </c>
    </row>
    <row r="273" spans="1:8" ht="19.5" thickBot="1">
      <c r="A273" s="576">
        <v>6130</v>
      </c>
      <c r="B273" s="576" t="s">
        <v>372</v>
      </c>
      <c r="C273" s="577" t="s">
        <v>1145</v>
      </c>
      <c r="D273" s="576">
        <v>56</v>
      </c>
      <c r="E273" s="578" t="s">
        <v>1146</v>
      </c>
      <c r="F273" s="579" t="s">
        <v>78</v>
      </c>
      <c r="G273" s="580">
        <v>13500</v>
      </c>
      <c r="H273" s="581" t="s">
        <v>2464</v>
      </c>
    </row>
    <row r="274" spans="1:8" ht="19.5" thickBot="1">
      <c r="A274" s="576">
        <v>6150</v>
      </c>
      <c r="B274" s="576" t="s">
        <v>37</v>
      </c>
      <c r="C274" s="577" t="s">
        <v>1149</v>
      </c>
      <c r="D274" s="576">
        <v>58</v>
      </c>
      <c r="E274" s="578" t="s">
        <v>1150</v>
      </c>
      <c r="F274" s="579" t="s">
        <v>53</v>
      </c>
      <c r="G274" s="580">
        <v>390000</v>
      </c>
      <c r="H274" s="581" t="s">
        <v>2465</v>
      </c>
    </row>
    <row r="275" spans="1:8" ht="19.5" thickBot="1">
      <c r="A275" s="576">
        <v>6150</v>
      </c>
      <c r="B275" s="576" t="s">
        <v>37</v>
      </c>
      <c r="C275" s="577" t="s">
        <v>4194</v>
      </c>
      <c r="D275" s="576">
        <v>58</v>
      </c>
      <c r="E275" s="578" t="s">
        <v>4250</v>
      </c>
      <c r="F275" s="579" t="s">
        <v>53</v>
      </c>
      <c r="G275" s="580">
        <v>390000</v>
      </c>
      <c r="H275" s="581" t="s">
        <v>2465</v>
      </c>
    </row>
    <row r="276" spans="1:8" ht="19.5" thickBot="1">
      <c r="A276" s="576">
        <v>6150</v>
      </c>
      <c r="B276" s="576" t="s">
        <v>37</v>
      </c>
      <c r="C276" s="577" t="s">
        <v>1151</v>
      </c>
      <c r="D276" s="576">
        <v>55</v>
      </c>
      <c r="E276" s="578" t="s">
        <v>1152</v>
      </c>
      <c r="F276" s="579" t="s">
        <v>78</v>
      </c>
      <c r="G276" s="580">
        <v>38000</v>
      </c>
      <c r="H276" s="581" t="s">
        <v>2465</v>
      </c>
    </row>
    <row r="277" spans="1:8" ht="19.5" thickBot="1">
      <c r="A277" s="602" t="s">
        <v>4137</v>
      </c>
      <c r="B277" s="603"/>
      <c r="C277" s="603"/>
      <c r="D277" s="603"/>
      <c r="E277" s="603"/>
      <c r="F277" s="603"/>
      <c r="G277" s="603"/>
      <c r="H277" s="604"/>
    </row>
    <row r="278" spans="1:8" ht="19.5" thickBot="1">
      <c r="A278" s="576">
        <v>6210</v>
      </c>
      <c r="B278" s="576" t="s">
        <v>37</v>
      </c>
      <c r="C278" s="577" t="s">
        <v>1153</v>
      </c>
      <c r="D278" s="576">
        <v>58</v>
      </c>
      <c r="E278" s="578" t="s">
        <v>1154</v>
      </c>
      <c r="F278" s="579" t="s">
        <v>53</v>
      </c>
      <c r="G278" s="580">
        <v>25000</v>
      </c>
      <c r="H278" s="581" t="s">
        <v>2466</v>
      </c>
    </row>
    <row r="279" spans="1:8" ht="19.5" thickBot="1">
      <c r="A279" s="576">
        <v>6210</v>
      </c>
      <c r="B279" s="576" t="s">
        <v>37</v>
      </c>
      <c r="C279" s="577" t="s">
        <v>1155</v>
      </c>
      <c r="D279" s="576">
        <v>58</v>
      </c>
      <c r="E279" s="578" t="s">
        <v>1156</v>
      </c>
      <c r="F279" s="579" t="s">
        <v>53</v>
      </c>
      <c r="G279" s="580">
        <v>25000</v>
      </c>
      <c r="H279" s="581" t="s">
        <v>2466</v>
      </c>
    </row>
    <row r="280" spans="1:8" ht="19.5" thickBot="1">
      <c r="A280" s="576">
        <v>6210</v>
      </c>
      <c r="B280" s="576" t="s">
        <v>37</v>
      </c>
      <c r="C280" s="577" t="s">
        <v>4178</v>
      </c>
      <c r="D280" s="576">
        <v>62</v>
      </c>
      <c r="E280" s="578" t="s">
        <v>4176</v>
      </c>
      <c r="F280" s="579" t="s">
        <v>53</v>
      </c>
      <c r="G280" s="580">
        <v>450000</v>
      </c>
      <c r="H280" s="581" t="s">
        <v>2466</v>
      </c>
    </row>
    <row r="281" spans="1:8" ht="19.5" thickBot="1">
      <c r="A281" s="576">
        <v>6210</v>
      </c>
      <c r="B281" s="576" t="s">
        <v>37</v>
      </c>
      <c r="C281" s="577" t="s">
        <v>4179</v>
      </c>
      <c r="D281" s="576">
        <v>62</v>
      </c>
      <c r="E281" s="578" t="s">
        <v>4177</v>
      </c>
      <c r="F281" s="579" t="s">
        <v>53</v>
      </c>
      <c r="G281" s="580">
        <v>1500000</v>
      </c>
      <c r="H281" s="581" t="s">
        <v>2466</v>
      </c>
    </row>
    <row r="282" spans="1:8" ht="19.5" thickBot="1">
      <c r="A282" s="576">
        <v>6230</v>
      </c>
      <c r="B282" s="576" t="s">
        <v>37</v>
      </c>
      <c r="C282" s="577" t="s">
        <v>1162</v>
      </c>
      <c r="D282" s="576">
        <v>60</v>
      </c>
      <c r="E282" s="578" t="s">
        <v>1163</v>
      </c>
      <c r="F282" s="579" t="s">
        <v>78</v>
      </c>
      <c r="G282" s="580">
        <v>380000</v>
      </c>
      <c r="H282" s="581" t="s">
        <v>2467</v>
      </c>
    </row>
    <row r="283" spans="1:8" ht="19.5" thickBot="1">
      <c r="A283" s="576">
        <v>6230</v>
      </c>
      <c r="B283" s="576" t="s">
        <v>37</v>
      </c>
      <c r="C283" s="577" t="s">
        <v>1164</v>
      </c>
      <c r="D283" s="576">
        <v>60</v>
      </c>
      <c r="E283" s="578" t="s">
        <v>1165</v>
      </c>
      <c r="F283" s="579" t="s">
        <v>78</v>
      </c>
      <c r="G283" s="580">
        <v>428000</v>
      </c>
      <c r="H283" s="581" t="s">
        <v>2467</v>
      </c>
    </row>
    <row r="284" spans="1:8" ht="19.5" thickBot="1">
      <c r="A284" s="602" t="s">
        <v>4138</v>
      </c>
      <c r="B284" s="603"/>
      <c r="C284" s="603"/>
      <c r="D284" s="603"/>
      <c r="E284" s="603"/>
      <c r="F284" s="603"/>
      <c r="G284" s="603"/>
      <c r="H284" s="604"/>
    </row>
    <row r="285" spans="1:8" ht="19.5" thickBot="1">
      <c r="A285" s="576">
        <v>6625</v>
      </c>
      <c r="B285" s="576" t="s">
        <v>37</v>
      </c>
      <c r="C285" s="577" t="s">
        <v>1168</v>
      </c>
      <c r="D285" s="576">
        <v>57</v>
      </c>
      <c r="E285" s="578" t="s">
        <v>1169</v>
      </c>
      <c r="F285" s="579" t="s">
        <v>78</v>
      </c>
      <c r="G285" s="580">
        <v>300000</v>
      </c>
      <c r="H285" s="581" t="s">
        <v>2475</v>
      </c>
    </row>
    <row r="286" spans="1:8" ht="19.5" thickBot="1">
      <c r="A286" s="576">
        <v>6630</v>
      </c>
      <c r="B286" s="576" t="s">
        <v>256</v>
      </c>
      <c r="C286" s="577" t="s">
        <v>1170</v>
      </c>
      <c r="D286" s="576">
        <v>54</v>
      </c>
      <c r="E286" s="578" t="s">
        <v>1171</v>
      </c>
      <c r="F286" s="579" t="s">
        <v>78</v>
      </c>
      <c r="G286" s="580">
        <v>20000</v>
      </c>
      <c r="H286" s="581" t="s">
        <v>2478</v>
      </c>
    </row>
    <row r="287" spans="1:8" ht="19.5" thickBot="1">
      <c r="A287" s="576">
        <v>6630</v>
      </c>
      <c r="B287" s="576" t="s">
        <v>256</v>
      </c>
      <c r="C287" s="577" t="s">
        <v>4174</v>
      </c>
      <c r="D287" s="576">
        <v>62</v>
      </c>
      <c r="E287" s="578" t="s">
        <v>4175</v>
      </c>
      <c r="F287" s="579" t="s">
        <v>78</v>
      </c>
      <c r="G287" s="580">
        <v>5000</v>
      </c>
      <c r="H287" s="581" t="s">
        <v>2478</v>
      </c>
    </row>
    <row r="288" spans="1:8" ht="24" customHeight="1" thickBot="1">
      <c r="A288" s="576">
        <v>6630</v>
      </c>
      <c r="B288" s="576" t="s">
        <v>256</v>
      </c>
      <c r="C288" s="577" t="s">
        <v>1174</v>
      </c>
      <c r="D288" s="576">
        <v>54</v>
      </c>
      <c r="E288" s="578" t="s">
        <v>1175</v>
      </c>
      <c r="F288" s="579" t="s">
        <v>78</v>
      </c>
      <c r="G288" s="580">
        <v>35000</v>
      </c>
      <c r="H288" s="581" t="s">
        <v>2478</v>
      </c>
    </row>
    <row r="289" spans="1:8" ht="38.25" thickBot="1">
      <c r="A289" s="576">
        <v>6635</v>
      </c>
      <c r="B289" s="576" t="s">
        <v>372</v>
      </c>
      <c r="C289" s="577" t="s">
        <v>1176</v>
      </c>
      <c r="D289" s="576">
        <v>60</v>
      </c>
      <c r="E289" s="578" t="s">
        <v>1177</v>
      </c>
      <c r="F289" s="579" t="s">
        <v>78</v>
      </c>
      <c r="G289" s="580">
        <v>130000</v>
      </c>
      <c r="H289" s="581" t="s">
        <v>2479</v>
      </c>
    </row>
    <row r="290" spans="1:8" ht="19.5" thickBot="1">
      <c r="A290" s="576">
        <v>6635</v>
      </c>
      <c r="B290" s="576" t="s">
        <v>372</v>
      </c>
      <c r="C290" s="577" t="s">
        <v>1179</v>
      </c>
      <c r="D290" s="576">
        <v>60</v>
      </c>
      <c r="E290" s="578" t="s">
        <v>817</v>
      </c>
      <c r="F290" s="579" t="s">
        <v>78</v>
      </c>
      <c r="G290" s="580">
        <v>1350000</v>
      </c>
      <c r="H290" s="581" t="s">
        <v>2479</v>
      </c>
    </row>
    <row r="291" spans="1:8" ht="19.5" thickBot="1">
      <c r="A291" s="576">
        <v>6635</v>
      </c>
      <c r="B291" s="576" t="s">
        <v>372</v>
      </c>
      <c r="C291" s="577" t="s">
        <v>1181</v>
      </c>
      <c r="D291" s="576">
        <v>61</v>
      </c>
      <c r="E291" s="578" t="s">
        <v>1182</v>
      </c>
      <c r="F291" s="579" t="s">
        <v>78</v>
      </c>
      <c r="G291" s="580">
        <v>990000</v>
      </c>
      <c r="H291" s="581" t="s">
        <v>2479</v>
      </c>
    </row>
    <row r="292" spans="1:8" ht="38.25" thickBot="1">
      <c r="A292" s="537" t="s">
        <v>10</v>
      </c>
      <c r="B292" s="537" t="s">
        <v>2</v>
      </c>
      <c r="C292" s="537" t="s">
        <v>3</v>
      </c>
      <c r="D292" s="537" t="s">
        <v>4</v>
      </c>
      <c r="E292" s="537" t="s">
        <v>2754</v>
      </c>
      <c r="F292" s="538" t="s">
        <v>3600</v>
      </c>
      <c r="G292" s="538" t="s">
        <v>7</v>
      </c>
      <c r="H292" s="538" t="s">
        <v>8</v>
      </c>
    </row>
    <row r="293" spans="1:8" ht="38.25" thickBot="1">
      <c r="A293" s="576">
        <v>6635</v>
      </c>
      <c r="B293" s="576" t="s">
        <v>372</v>
      </c>
      <c r="C293" s="577" t="s">
        <v>1183</v>
      </c>
      <c r="D293" s="576">
        <v>61</v>
      </c>
      <c r="E293" s="578" t="s">
        <v>1184</v>
      </c>
      <c r="F293" s="579" t="s">
        <v>53</v>
      </c>
      <c r="G293" s="580">
        <v>825000</v>
      </c>
      <c r="H293" s="581" t="s">
        <v>2479</v>
      </c>
    </row>
    <row r="294" spans="1:8" ht="19.5" thickBot="1">
      <c r="A294" s="576">
        <v>6635</v>
      </c>
      <c r="B294" s="576" t="s">
        <v>372</v>
      </c>
      <c r="C294" s="577" t="s">
        <v>1185</v>
      </c>
      <c r="D294" s="576">
        <v>60</v>
      </c>
      <c r="E294" s="578" t="s">
        <v>1186</v>
      </c>
      <c r="F294" s="579" t="s">
        <v>53</v>
      </c>
      <c r="G294" s="580">
        <v>160000</v>
      </c>
      <c r="H294" s="581" t="s">
        <v>2479</v>
      </c>
    </row>
    <row r="295" spans="1:8" ht="19.5" thickBot="1">
      <c r="A295" s="576">
        <v>6635</v>
      </c>
      <c r="B295" s="576" t="s">
        <v>372</v>
      </c>
      <c r="C295" s="577" t="s">
        <v>1188</v>
      </c>
      <c r="D295" s="576">
        <v>60</v>
      </c>
      <c r="E295" s="578" t="s">
        <v>1189</v>
      </c>
      <c r="F295" s="579" t="s">
        <v>53</v>
      </c>
      <c r="G295" s="580">
        <v>1250000</v>
      </c>
      <c r="H295" s="581" t="s">
        <v>2479</v>
      </c>
    </row>
    <row r="296" spans="1:8" ht="38.25" thickBot="1">
      <c r="A296" s="576">
        <v>6635</v>
      </c>
      <c r="B296" s="576" t="s">
        <v>372</v>
      </c>
      <c r="C296" s="577" t="s">
        <v>1191</v>
      </c>
      <c r="D296" s="576">
        <v>56</v>
      </c>
      <c r="E296" s="578" t="s">
        <v>1192</v>
      </c>
      <c r="F296" s="579" t="s">
        <v>53</v>
      </c>
      <c r="G296" s="580">
        <v>150000</v>
      </c>
      <c r="H296" s="581" t="s">
        <v>2479</v>
      </c>
    </row>
    <row r="297" spans="1:8" ht="19.5" thickBot="1">
      <c r="A297" s="576">
        <v>6635</v>
      </c>
      <c r="B297" s="576" t="s">
        <v>372</v>
      </c>
      <c r="C297" s="577" t="s">
        <v>4173</v>
      </c>
      <c r="D297" s="576">
        <v>62</v>
      </c>
      <c r="E297" s="613" t="s">
        <v>4159</v>
      </c>
      <c r="F297" s="579" t="s">
        <v>53</v>
      </c>
      <c r="G297" s="580">
        <v>980000</v>
      </c>
      <c r="H297" s="579"/>
    </row>
    <row r="298" spans="1:8" ht="19.5" thickBot="1">
      <c r="A298" s="576">
        <v>6635</v>
      </c>
      <c r="B298" s="576" t="s">
        <v>372</v>
      </c>
      <c r="C298" s="577" t="s">
        <v>1206</v>
      </c>
      <c r="D298" s="576">
        <v>60</v>
      </c>
      <c r="E298" s="578" t="s">
        <v>1207</v>
      </c>
      <c r="F298" s="579" t="s">
        <v>53</v>
      </c>
      <c r="G298" s="580">
        <v>802500</v>
      </c>
      <c r="H298" s="581" t="s">
        <v>2479</v>
      </c>
    </row>
    <row r="299" spans="1:8" ht="19.5" thickBot="1">
      <c r="A299" s="576">
        <v>6635</v>
      </c>
      <c r="B299" s="576" t="s">
        <v>372</v>
      </c>
      <c r="C299" s="577" t="s">
        <v>1209</v>
      </c>
      <c r="D299" s="576">
        <v>60</v>
      </c>
      <c r="E299" s="578" t="s">
        <v>4115</v>
      </c>
      <c r="F299" s="579" t="s">
        <v>53</v>
      </c>
      <c r="G299" s="580">
        <v>100000</v>
      </c>
      <c r="H299" s="581" t="s">
        <v>2479</v>
      </c>
    </row>
    <row r="300" spans="1:8" ht="38.25" thickBot="1">
      <c r="A300" s="576">
        <v>6635</v>
      </c>
      <c r="B300" s="576" t="s">
        <v>372</v>
      </c>
      <c r="C300" s="577" t="s">
        <v>1212</v>
      </c>
      <c r="D300" s="576">
        <v>61</v>
      </c>
      <c r="E300" s="578" t="s">
        <v>824</v>
      </c>
      <c r="F300" s="579" t="s">
        <v>53</v>
      </c>
      <c r="G300" s="580">
        <v>1500000</v>
      </c>
      <c r="H300" s="581" t="s">
        <v>2479</v>
      </c>
    </row>
    <row r="301" spans="1:8" ht="19.5" thickBot="1">
      <c r="A301" s="576">
        <v>6635</v>
      </c>
      <c r="B301" s="576" t="s">
        <v>372</v>
      </c>
      <c r="C301" s="577" t="s">
        <v>1214</v>
      </c>
      <c r="D301" s="576">
        <v>60</v>
      </c>
      <c r="E301" s="578" t="s">
        <v>4251</v>
      </c>
      <c r="F301" s="579" t="s">
        <v>78</v>
      </c>
      <c r="G301" s="580">
        <v>150000</v>
      </c>
      <c r="H301" s="581" t="s">
        <v>2479</v>
      </c>
    </row>
    <row r="302" spans="1:8" ht="19.5" thickBot="1">
      <c r="A302" s="576">
        <v>6675</v>
      </c>
      <c r="B302" s="576" t="s">
        <v>372</v>
      </c>
      <c r="C302" s="577" t="s">
        <v>1217</v>
      </c>
      <c r="D302" s="576">
        <v>58</v>
      </c>
      <c r="E302" s="578" t="s">
        <v>1218</v>
      </c>
      <c r="F302" s="579" t="s">
        <v>78</v>
      </c>
      <c r="G302" s="580">
        <v>56000</v>
      </c>
      <c r="H302" s="581" t="s">
        <v>2482</v>
      </c>
    </row>
    <row r="303" spans="1:8" ht="38.25" thickBot="1">
      <c r="A303" s="576">
        <v>6675</v>
      </c>
      <c r="B303" s="576" t="s">
        <v>372</v>
      </c>
      <c r="C303" s="577" t="s">
        <v>1220</v>
      </c>
      <c r="D303" s="576">
        <v>59</v>
      </c>
      <c r="E303" s="578" t="s">
        <v>1221</v>
      </c>
      <c r="F303" s="579" t="s">
        <v>78</v>
      </c>
      <c r="G303" s="580">
        <v>23000</v>
      </c>
      <c r="H303" s="581" t="s">
        <v>2482</v>
      </c>
    </row>
    <row r="304" spans="1:8" ht="38.25" thickBot="1">
      <c r="A304" s="576">
        <v>6675</v>
      </c>
      <c r="B304" s="576" t="s">
        <v>372</v>
      </c>
      <c r="C304" s="577" t="s">
        <v>1223</v>
      </c>
      <c r="D304" s="576">
        <v>59</v>
      </c>
      <c r="E304" s="578" t="s">
        <v>1224</v>
      </c>
      <c r="F304" s="579" t="s">
        <v>78</v>
      </c>
      <c r="G304" s="580">
        <v>900000</v>
      </c>
      <c r="H304" s="581" t="s">
        <v>2482</v>
      </c>
    </row>
    <row r="305" spans="1:8" ht="19.5" thickBot="1">
      <c r="A305" s="576">
        <v>6675</v>
      </c>
      <c r="B305" s="576" t="s">
        <v>191</v>
      </c>
      <c r="C305" s="577" t="s">
        <v>1226</v>
      </c>
      <c r="D305" s="576">
        <v>60</v>
      </c>
      <c r="E305" s="578" t="s">
        <v>1227</v>
      </c>
      <c r="F305" s="579" t="s">
        <v>78</v>
      </c>
      <c r="G305" s="580">
        <v>755000</v>
      </c>
      <c r="H305" s="581" t="s">
        <v>2482</v>
      </c>
    </row>
    <row r="306" spans="1:8" ht="19.5" thickBot="1">
      <c r="A306" s="576">
        <v>6675</v>
      </c>
      <c r="B306" s="576" t="s">
        <v>372</v>
      </c>
      <c r="C306" s="577" t="s">
        <v>1230</v>
      </c>
      <c r="D306" s="576">
        <v>58</v>
      </c>
      <c r="E306" s="578" t="s">
        <v>1231</v>
      </c>
      <c r="F306" s="579" t="s">
        <v>53</v>
      </c>
      <c r="G306" s="580">
        <v>850000</v>
      </c>
      <c r="H306" s="581" t="s">
        <v>2482</v>
      </c>
    </row>
    <row r="307" spans="1:8" ht="19.5" thickBot="1">
      <c r="A307" s="576">
        <v>6675</v>
      </c>
      <c r="B307" s="576" t="s">
        <v>372</v>
      </c>
      <c r="C307" s="577" t="s">
        <v>1236</v>
      </c>
      <c r="D307" s="576">
        <v>60</v>
      </c>
      <c r="E307" s="578" t="s">
        <v>1237</v>
      </c>
      <c r="F307" s="579" t="s">
        <v>53</v>
      </c>
      <c r="G307" s="580">
        <v>650000</v>
      </c>
      <c r="H307" s="581" t="s">
        <v>2482</v>
      </c>
    </row>
    <row r="308" spans="1:8" ht="19.5" thickBot="1">
      <c r="A308" s="576">
        <v>6675</v>
      </c>
      <c r="B308" s="576" t="s">
        <v>372</v>
      </c>
      <c r="C308" s="577" t="s">
        <v>1238</v>
      </c>
      <c r="D308" s="576">
        <v>61</v>
      </c>
      <c r="E308" s="578" t="s">
        <v>1239</v>
      </c>
      <c r="F308" s="579" t="s">
        <v>78</v>
      </c>
      <c r="G308" s="580">
        <v>30000</v>
      </c>
      <c r="H308" s="581" t="s">
        <v>2482</v>
      </c>
    </row>
    <row r="309" spans="1:8" ht="19.5" thickBot="1">
      <c r="A309" s="576">
        <v>6675</v>
      </c>
      <c r="B309" s="576" t="s">
        <v>372</v>
      </c>
      <c r="C309" s="577" t="s">
        <v>1242</v>
      </c>
      <c r="D309" s="576">
        <v>61</v>
      </c>
      <c r="E309" s="578" t="s">
        <v>1243</v>
      </c>
      <c r="F309" s="579" t="s">
        <v>53</v>
      </c>
      <c r="G309" s="580">
        <v>250000</v>
      </c>
      <c r="H309" s="581" t="s">
        <v>2482</v>
      </c>
    </row>
    <row r="310" spans="1:8" ht="19.5" thickBot="1">
      <c r="A310" s="576">
        <v>6675</v>
      </c>
      <c r="B310" s="576" t="s">
        <v>372</v>
      </c>
      <c r="C310" s="577" t="s">
        <v>4252</v>
      </c>
      <c r="D310" s="576">
        <v>62</v>
      </c>
      <c r="E310" s="578" t="s">
        <v>1246</v>
      </c>
      <c r="F310" s="579" t="s">
        <v>53</v>
      </c>
      <c r="G310" s="580">
        <v>400000</v>
      </c>
      <c r="H310" s="581" t="s">
        <v>2482</v>
      </c>
    </row>
    <row r="311" spans="1:8" ht="19.5" thickBot="1">
      <c r="A311" s="576">
        <v>6680</v>
      </c>
      <c r="B311" s="576" t="s">
        <v>256</v>
      </c>
      <c r="C311" s="577" t="s">
        <v>1249</v>
      </c>
      <c r="D311" s="576">
        <v>54</v>
      </c>
      <c r="E311" s="578" t="s">
        <v>4162</v>
      </c>
      <c r="F311" s="579" t="s">
        <v>78</v>
      </c>
      <c r="G311" s="580">
        <v>47000</v>
      </c>
      <c r="H311" s="581" t="s">
        <v>2485</v>
      </c>
    </row>
    <row r="312" spans="1:8" ht="19.5" thickBot="1">
      <c r="A312" s="576">
        <v>6680</v>
      </c>
      <c r="B312" s="576" t="s">
        <v>157</v>
      </c>
      <c r="C312" s="577" t="s">
        <v>1251</v>
      </c>
      <c r="D312" s="576">
        <v>55</v>
      </c>
      <c r="E312" s="578" t="s">
        <v>1252</v>
      </c>
      <c r="F312" s="579" t="s">
        <v>53</v>
      </c>
      <c r="G312" s="580">
        <v>4500</v>
      </c>
      <c r="H312" s="581" t="s">
        <v>2485</v>
      </c>
    </row>
    <row r="313" spans="1:8" ht="19.5" thickBot="1">
      <c r="A313" s="576">
        <v>6685</v>
      </c>
      <c r="B313" s="576" t="s">
        <v>37</v>
      </c>
      <c r="C313" s="577" t="s">
        <v>1253</v>
      </c>
      <c r="D313" s="576">
        <v>58</v>
      </c>
      <c r="E313" s="578" t="s">
        <v>1254</v>
      </c>
      <c r="F313" s="579" t="s">
        <v>78</v>
      </c>
      <c r="G313" s="580">
        <v>225000</v>
      </c>
      <c r="H313" s="581" t="s">
        <v>2487</v>
      </c>
    </row>
    <row r="314" spans="1:8" ht="19.5" thickBot="1">
      <c r="A314" s="576">
        <v>6695</v>
      </c>
      <c r="B314" s="576" t="s">
        <v>157</v>
      </c>
      <c r="C314" s="577" t="s">
        <v>1255</v>
      </c>
      <c r="D314" s="576">
        <v>52</v>
      </c>
      <c r="E314" s="578" t="s">
        <v>1256</v>
      </c>
      <c r="F314" s="579" t="s">
        <v>78</v>
      </c>
      <c r="G314" s="580">
        <v>9500</v>
      </c>
      <c r="H314" s="581" t="s">
        <v>2489</v>
      </c>
    </row>
    <row r="315" spans="1:8" ht="19.5" thickBot="1">
      <c r="A315" s="602" t="s">
        <v>4139</v>
      </c>
      <c r="B315" s="603"/>
      <c r="C315" s="603"/>
      <c r="D315" s="603"/>
      <c r="E315" s="603"/>
      <c r="F315" s="603"/>
      <c r="G315" s="603"/>
      <c r="H315" s="604"/>
    </row>
    <row r="316" spans="1:8" ht="19.5" thickBot="1">
      <c r="A316" s="576">
        <v>6810</v>
      </c>
      <c r="B316" s="576" t="s">
        <v>683</v>
      </c>
      <c r="C316" s="577" t="s">
        <v>1257</v>
      </c>
      <c r="D316" s="576">
        <v>53</v>
      </c>
      <c r="E316" s="578" t="s">
        <v>1258</v>
      </c>
      <c r="F316" s="579" t="s">
        <v>1259</v>
      </c>
      <c r="G316" s="580">
        <v>6500</v>
      </c>
      <c r="H316" s="581" t="s">
        <v>2491</v>
      </c>
    </row>
    <row r="317" spans="1:8" ht="42" customHeight="1" thickBot="1">
      <c r="A317" s="576">
        <v>6840</v>
      </c>
      <c r="B317" s="576" t="s">
        <v>191</v>
      </c>
      <c r="C317" s="577" t="s">
        <v>852</v>
      </c>
      <c r="D317" s="576">
        <v>54</v>
      </c>
      <c r="E317" s="578" t="s">
        <v>853</v>
      </c>
      <c r="F317" s="579" t="s">
        <v>1261</v>
      </c>
      <c r="G317" s="580">
        <v>380</v>
      </c>
      <c r="H317" s="581" t="s">
        <v>2492</v>
      </c>
    </row>
    <row r="318" spans="1:8" ht="38.25" thickBot="1">
      <c r="A318" s="576">
        <v>6840</v>
      </c>
      <c r="B318" s="576" t="s">
        <v>191</v>
      </c>
      <c r="C318" s="577" t="s">
        <v>1262</v>
      </c>
      <c r="D318" s="576">
        <v>58</v>
      </c>
      <c r="E318" s="578" t="s">
        <v>856</v>
      </c>
      <c r="F318" s="579" t="s">
        <v>1263</v>
      </c>
      <c r="G318" s="580">
        <v>750</v>
      </c>
      <c r="H318" s="581" t="s">
        <v>2492</v>
      </c>
    </row>
    <row r="319" spans="1:8" ht="39" customHeight="1" thickBot="1">
      <c r="A319" s="576">
        <v>6840</v>
      </c>
      <c r="B319" s="576" t="s">
        <v>191</v>
      </c>
      <c r="C319" s="577" t="s">
        <v>1264</v>
      </c>
      <c r="D319" s="576">
        <v>58</v>
      </c>
      <c r="E319" s="578" t="s">
        <v>1265</v>
      </c>
      <c r="F319" s="579" t="s">
        <v>1266</v>
      </c>
      <c r="G319" s="580">
        <v>1000</v>
      </c>
      <c r="H319" s="581" t="s">
        <v>2492</v>
      </c>
    </row>
    <row r="320" spans="1:8" ht="19.5" thickBot="1">
      <c r="A320" s="602" t="s">
        <v>4140</v>
      </c>
      <c r="B320" s="603"/>
      <c r="C320" s="603"/>
      <c r="D320" s="603"/>
      <c r="E320" s="603"/>
      <c r="F320" s="603"/>
      <c r="G320" s="603"/>
      <c r="H320" s="604"/>
    </row>
    <row r="321" spans="1:8" ht="19.5" thickBot="1">
      <c r="A321" s="576">
        <v>8415</v>
      </c>
      <c r="B321" s="576" t="s">
        <v>683</v>
      </c>
      <c r="C321" s="577" t="s">
        <v>1267</v>
      </c>
      <c r="D321" s="576">
        <v>61</v>
      </c>
      <c r="E321" s="578" t="s">
        <v>741</v>
      </c>
      <c r="F321" s="579" t="s">
        <v>53</v>
      </c>
      <c r="G321" s="580">
        <v>140000</v>
      </c>
      <c r="H321" s="581" t="s">
        <v>2508</v>
      </c>
    </row>
    <row r="322" spans="1:8" ht="19.5" thickBot="1">
      <c r="A322" s="576">
        <v>8415</v>
      </c>
      <c r="B322" s="576" t="s">
        <v>683</v>
      </c>
      <c r="C322" s="577" t="s">
        <v>1268</v>
      </c>
      <c r="D322" s="576">
        <v>61</v>
      </c>
      <c r="E322" s="578" t="s">
        <v>745</v>
      </c>
      <c r="F322" s="579" t="s">
        <v>53</v>
      </c>
      <c r="G322" s="580">
        <v>120000</v>
      </c>
      <c r="H322" s="581" t="s">
        <v>2508</v>
      </c>
    </row>
    <row r="323" spans="1:8" ht="19.5" thickBot="1">
      <c r="A323" s="576">
        <v>8415</v>
      </c>
      <c r="B323" s="576" t="s">
        <v>683</v>
      </c>
      <c r="C323" s="577" t="s">
        <v>1269</v>
      </c>
      <c r="D323" s="576">
        <v>52</v>
      </c>
      <c r="E323" s="578" t="s">
        <v>1270</v>
      </c>
      <c r="F323" s="579" t="s">
        <v>53</v>
      </c>
      <c r="G323" s="580">
        <v>33000</v>
      </c>
      <c r="H323" s="581" t="s">
        <v>2508</v>
      </c>
    </row>
    <row r="324" spans="1:8" ht="19.5" thickBot="1">
      <c r="A324" s="602" t="s">
        <v>4141</v>
      </c>
      <c r="B324" s="603"/>
      <c r="C324" s="603"/>
      <c r="D324" s="603"/>
      <c r="E324" s="603"/>
      <c r="F324" s="603"/>
      <c r="G324" s="603"/>
      <c r="H324" s="604"/>
    </row>
    <row r="325" spans="1:8" ht="19.5" thickBot="1">
      <c r="A325" s="576">
        <v>9999</v>
      </c>
      <c r="B325" s="576" t="s">
        <v>191</v>
      </c>
      <c r="C325" s="577" t="s">
        <v>1274</v>
      </c>
      <c r="D325" s="576">
        <v>54</v>
      </c>
      <c r="E325" s="578" t="s">
        <v>1275</v>
      </c>
      <c r="F325" s="579" t="s">
        <v>358</v>
      </c>
      <c r="G325" s="580">
        <v>45000</v>
      </c>
      <c r="H325" s="581" t="s">
        <v>1483</v>
      </c>
    </row>
    <row r="326" spans="1:8" ht="19.5" thickBot="1">
      <c r="A326" s="602" t="s">
        <v>4143</v>
      </c>
      <c r="B326" s="603"/>
      <c r="C326" s="603"/>
      <c r="D326" s="603"/>
      <c r="E326" s="603"/>
      <c r="F326" s="603"/>
      <c r="G326" s="603"/>
      <c r="H326" s="604"/>
    </row>
    <row r="327" spans="1:8" ht="19.5" thickBot="1">
      <c r="A327" s="576"/>
      <c r="B327" s="576" t="s">
        <v>25</v>
      </c>
      <c r="C327" s="577" t="s">
        <v>26</v>
      </c>
      <c r="D327" s="576"/>
      <c r="E327" s="578" t="s">
        <v>993</v>
      </c>
      <c r="F327" s="579" t="s">
        <v>48</v>
      </c>
      <c r="G327" s="580">
        <v>14800</v>
      </c>
      <c r="H327" s="581" t="s">
        <v>4158</v>
      </c>
    </row>
    <row r="328" spans="1:8" ht="38.25" thickBot="1">
      <c r="A328" s="537" t="s">
        <v>10</v>
      </c>
      <c r="B328" s="537" t="s">
        <v>2</v>
      </c>
      <c r="C328" s="537" t="s">
        <v>3</v>
      </c>
      <c r="D328" s="537" t="s">
        <v>4</v>
      </c>
      <c r="E328" s="537" t="s">
        <v>2754</v>
      </c>
      <c r="F328" s="538" t="s">
        <v>3600</v>
      </c>
      <c r="G328" s="538" t="s">
        <v>7</v>
      </c>
      <c r="H328" s="538" t="s">
        <v>8</v>
      </c>
    </row>
    <row r="329" spans="1:8" ht="19.5" thickBot="1">
      <c r="A329" s="576"/>
      <c r="B329" s="576" t="s">
        <v>25</v>
      </c>
      <c r="C329" s="577" t="s">
        <v>26</v>
      </c>
      <c r="D329" s="576"/>
      <c r="E329" s="578" t="s">
        <v>782</v>
      </c>
      <c r="F329" s="579" t="s">
        <v>78</v>
      </c>
      <c r="G329" s="580">
        <v>670000</v>
      </c>
      <c r="H329" s="581" t="s">
        <v>4158</v>
      </c>
    </row>
    <row r="330" spans="1:8" ht="19.5" thickBot="1">
      <c r="A330" s="576"/>
      <c r="B330" s="576" t="s">
        <v>25</v>
      </c>
      <c r="C330" s="577" t="s">
        <v>26</v>
      </c>
      <c r="D330" s="576"/>
      <c r="E330" s="578" t="s">
        <v>1086</v>
      </c>
      <c r="F330" s="579" t="s">
        <v>78</v>
      </c>
      <c r="G330" s="580">
        <v>150000</v>
      </c>
      <c r="H330" s="581" t="s">
        <v>4158</v>
      </c>
    </row>
    <row r="331" spans="1:8" ht="19.5" thickBot="1">
      <c r="A331" s="576"/>
      <c r="B331" s="576" t="s">
        <v>25</v>
      </c>
      <c r="C331" s="577" t="s">
        <v>26</v>
      </c>
      <c r="D331" s="576"/>
      <c r="E331" s="578" t="s">
        <v>1288</v>
      </c>
      <c r="F331" s="579" t="s">
        <v>78</v>
      </c>
      <c r="G331" s="580">
        <v>246000</v>
      </c>
      <c r="H331" s="581" t="s">
        <v>4158</v>
      </c>
    </row>
    <row r="332" spans="1:8" ht="19.5" thickBot="1">
      <c r="A332" s="576"/>
      <c r="B332" s="576" t="s">
        <v>25</v>
      </c>
      <c r="C332" s="577" t="s">
        <v>26</v>
      </c>
      <c r="D332" s="576"/>
      <c r="E332" s="578" t="s">
        <v>1290</v>
      </c>
      <c r="F332" s="579" t="s">
        <v>78</v>
      </c>
      <c r="G332" s="580">
        <v>1247000</v>
      </c>
      <c r="H332" s="581" t="s">
        <v>4158</v>
      </c>
    </row>
    <row r="333" spans="1:8" ht="19.5" thickBot="1">
      <c r="A333" s="576"/>
      <c r="B333" s="576" t="s">
        <v>25</v>
      </c>
      <c r="C333" s="577" t="s">
        <v>26</v>
      </c>
      <c r="D333" s="576"/>
      <c r="E333" s="578" t="s">
        <v>1098</v>
      </c>
      <c r="F333" s="579" t="s">
        <v>78</v>
      </c>
      <c r="G333" s="580">
        <v>385000</v>
      </c>
      <c r="H333" s="581" t="s">
        <v>4158</v>
      </c>
    </row>
    <row r="334" spans="1:8" ht="19.5" thickBot="1">
      <c r="A334" s="576"/>
      <c r="B334" s="576" t="s">
        <v>25</v>
      </c>
      <c r="C334" s="577" t="s">
        <v>26</v>
      </c>
      <c r="D334" s="576"/>
      <c r="E334" s="578" t="s">
        <v>1295</v>
      </c>
      <c r="F334" s="579" t="s">
        <v>78</v>
      </c>
      <c r="G334" s="580">
        <v>1700000</v>
      </c>
      <c r="H334" s="581" t="s">
        <v>4158</v>
      </c>
    </row>
    <row r="335" spans="1:8" ht="19.5" thickBot="1">
      <c r="A335" s="576"/>
      <c r="B335" s="576" t="s">
        <v>25</v>
      </c>
      <c r="C335" s="577" t="s">
        <v>26</v>
      </c>
      <c r="D335" s="576"/>
      <c r="E335" s="578" t="s">
        <v>1100</v>
      </c>
      <c r="F335" s="579" t="s">
        <v>78</v>
      </c>
      <c r="G335" s="580">
        <v>23300</v>
      </c>
      <c r="H335" s="581" t="s">
        <v>4158</v>
      </c>
    </row>
    <row r="336" spans="1:8" ht="19.5" thickBot="1">
      <c r="A336" s="576"/>
      <c r="B336" s="576" t="s">
        <v>25</v>
      </c>
      <c r="C336" s="577" t="s">
        <v>26</v>
      </c>
      <c r="D336" s="576"/>
      <c r="E336" s="578" t="s">
        <v>1102</v>
      </c>
      <c r="F336" s="579" t="s">
        <v>78</v>
      </c>
      <c r="G336" s="580">
        <v>2364000</v>
      </c>
      <c r="H336" s="581" t="s">
        <v>4158</v>
      </c>
    </row>
    <row r="337" spans="1:8" ht="19.5" thickBot="1">
      <c r="A337" s="576"/>
      <c r="B337" s="576" t="s">
        <v>25</v>
      </c>
      <c r="C337" s="577" t="s">
        <v>26</v>
      </c>
      <c r="D337" s="576"/>
      <c r="E337" s="578" t="s">
        <v>1104</v>
      </c>
      <c r="F337" s="579" t="s">
        <v>78</v>
      </c>
      <c r="G337" s="580">
        <v>3350000</v>
      </c>
      <c r="H337" s="581" t="s">
        <v>4158</v>
      </c>
    </row>
    <row r="338" spans="1:8" ht="19.5" thickBot="1">
      <c r="A338" s="576"/>
      <c r="B338" s="576" t="s">
        <v>25</v>
      </c>
      <c r="C338" s="577" t="s">
        <v>26</v>
      </c>
      <c r="D338" s="576"/>
      <c r="E338" s="578" t="s">
        <v>1299</v>
      </c>
      <c r="F338" s="579" t="s">
        <v>78</v>
      </c>
      <c r="G338" s="580">
        <v>500000</v>
      </c>
      <c r="H338" s="581" t="s">
        <v>4158</v>
      </c>
    </row>
    <row r="339" spans="1:8" ht="19.5" thickBot="1">
      <c r="A339" s="576"/>
      <c r="B339" s="576" t="s">
        <v>25</v>
      </c>
      <c r="C339" s="577" t="s">
        <v>26</v>
      </c>
      <c r="D339" s="576"/>
      <c r="E339" s="578" t="s">
        <v>787</v>
      </c>
      <c r="F339" s="579" t="s">
        <v>78</v>
      </c>
      <c r="G339" s="580">
        <v>57500</v>
      </c>
      <c r="H339" s="581" t="s">
        <v>4158</v>
      </c>
    </row>
    <row r="340" spans="1:8" ht="19.5" thickBot="1">
      <c r="A340" s="576"/>
      <c r="B340" s="576" t="s">
        <v>25</v>
      </c>
      <c r="C340" s="577" t="s">
        <v>26</v>
      </c>
      <c r="D340" s="576"/>
      <c r="E340" s="578" t="s">
        <v>1302</v>
      </c>
      <c r="F340" s="579" t="s">
        <v>78</v>
      </c>
      <c r="G340" s="580">
        <v>8300</v>
      </c>
      <c r="H340" s="581" t="s">
        <v>4158</v>
      </c>
    </row>
    <row r="341" spans="1:8" ht="19.5" thickBot="1">
      <c r="A341" s="576"/>
      <c r="B341" s="576" t="s">
        <v>25</v>
      </c>
      <c r="C341" s="577" t="s">
        <v>26</v>
      </c>
      <c r="D341" s="576"/>
      <c r="E341" s="578" t="s">
        <v>1304</v>
      </c>
      <c r="F341" s="579" t="s">
        <v>78</v>
      </c>
      <c r="G341" s="580">
        <v>9300</v>
      </c>
      <c r="H341" s="581" t="s">
        <v>4158</v>
      </c>
    </row>
    <row r="342" spans="1:8" ht="19.5" thickBot="1">
      <c r="A342" s="576"/>
      <c r="B342" s="576" t="s">
        <v>25</v>
      </c>
      <c r="C342" s="577" t="s">
        <v>26</v>
      </c>
      <c r="D342" s="576"/>
      <c r="E342" s="578" t="s">
        <v>1306</v>
      </c>
      <c r="F342" s="579" t="s">
        <v>78</v>
      </c>
      <c r="G342" s="580">
        <v>7600</v>
      </c>
      <c r="H342" s="581" t="s">
        <v>4158</v>
      </c>
    </row>
    <row r="343" spans="1:8" ht="19.5" thickBot="1">
      <c r="A343" s="576"/>
      <c r="B343" s="576" t="s">
        <v>25</v>
      </c>
      <c r="C343" s="577" t="s">
        <v>26</v>
      </c>
      <c r="D343" s="576"/>
      <c r="E343" s="578" t="s">
        <v>1310</v>
      </c>
      <c r="F343" s="579" t="s">
        <v>48</v>
      </c>
      <c r="G343" s="580">
        <v>5500</v>
      </c>
      <c r="H343" s="581" t="s">
        <v>4158</v>
      </c>
    </row>
    <row r="344" spans="1:8" ht="19.5" thickBot="1">
      <c r="A344" s="576"/>
      <c r="B344" s="576" t="s">
        <v>25</v>
      </c>
      <c r="C344" s="577" t="s">
        <v>26</v>
      </c>
      <c r="D344" s="576"/>
      <c r="E344" s="578" t="s">
        <v>1312</v>
      </c>
      <c r="F344" s="579" t="s">
        <v>48</v>
      </c>
      <c r="G344" s="580">
        <v>5800</v>
      </c>
      <c r="H344" s="581" t="s">
        <v>4158</v>
      </c>
    </row>
    <row r="345" spans="1:8" ht="19.5" thickBot="1">
      <c r="A345" s="576"/>
      <c r="B345" s="576" t="s">
        <v>25</v>
      </c>
      <c r="C345" s="577" t="s">
        <v>26</v>
      </c>
      <c r="D345" s="576"/>
      <c r="E345" s="578" t="s">
        <v>1313</v>
      </c>
      <c r="F345" s="579" t="s">
        <v>48</v>
      </c>
      <c r="G345" s="580">
        <v>6300</v>
      </c>
      <c r="H345" s="581" t="s">
        <v>4158</v>
      </c>
    </row>
    <row r="346" spans="1:8" ht="19.5" thickBot="1">
      <c r="A346" s="576"/>
      <c r="B346" s="576" t="s">
        <v>25</v>
      </c>
      <c r="C346" s="577" t="s">
        <v>26</v>
      </c>
      <c r="D346" s="576"/>
      <c r="E346" s="578" t="s">
        <v>1315</v>
      </c>
      <c r="F346" s="579" t="s">
        <v>48</v>
      </c>
      <c r="G346" s="580">
        <v>6500</v>
      </c>
      <c r="H346" s="581" t="s">
        <v>4158</v>
      </c>
    </row>
    <row r="347" spans="1:8" ht="19.5" thickBot="1">
      <c r="A347" s="576"/>
      <c r="B347" s="576" t="s">
        <v>25</v>
      </c>
      <c r="C347" s="577" t="s">
        <v>26</v>
      </c>
      <c r="D347" s="576"/>
      <c r="E347" s="578" t="s">
        <v>1105</v>
      </c>
      <c r="F347" s="579" t="s">
        <v>78</v>
      </c>
      <c r="G347" s="580">
        <v>23000</v>
      </c>
      <c r="H347" s="581" t="s">
        <v>4158</v>
      </c>
    </row>
    <row r="348" spans="1:8" ht="19.5" thickBot="1">
      <c r="A348" s="576"/>
      <c r="B348" s="576" t="s">
        <v>25</v>
      </c>
      <c r="C348" s="577" t="s">
        <v>26</v>
      </c>
      <c r="D348" s="576"/>
      <c r="E348" s="578" t="s">
        <v>1318</v>
      </c>
      <c r="F348" s="579" t="s">
        <v>78</v>
      </c>
      <c r="G348" s="580">
        <v>25900</v>
      </c>
      <c r="H348" s="581" t="s">
        <v>4158</v>
      </c>
    </row>
    <row r="349" spans="1:8" ht="19.5" thickBot="1">
      <c r="A349" s="576"/>
      <c r="B349" s="576" t="s">
        <v>25</v>
      </c>
      <c r="C349" s="577" t="s">
        <v>26</v>
      </c>
      <c r="D349" s="576"/>
      <c r="E349" s="578" t="s">
        <v>1106</v>
      </c>
      <c r="F349" s="579" t="s">
        <v>78</v>
      </c>
      <c r="G349" s="580">
        <v>28600</v>
      </c>
      <c r="H349" s="581" t="s">
        <v>4158</v>
      </c>
    </row>
    <row r="350" spans="1:8" ht="19.5" thickBot="1">
      <c r="A350" s="576"/>
      <c r="B350" s="576" t="s">
        <v>25</v>
      </c>
      <c r="C350" s="577" t="s">
        <v>26</v>
      </c>
      <c r="D350" s="576"/>
      <c r="E350" s="578" t="s">
        <v>1110</v>
      </c>
      <c r="F350" s="579" t="s">
        <v>78</v>
      </c>
      <c r="G350" s="580">
        <v>30600</v>
      </c>
      <c r="H350" s="581" t="s">
        <v>4158</v>
      </c>
    </row>
    <row r="351" spans="1:8" ht="19.5" thickBot="1">
      <c r="A351" s="576"/>
      <c r="B351" s="576" t="s">
        <v>25</v>
      </c>
      <c r="C351" s="577" t="s">
        <v>26</v>
      </c>
      <c r="D351" s="576"/>
      <c r="E351" s="578" t="s">
        <v>1113</v>
      </c>
      <c r="F351" s="579" t="s">
        <v>78</v>
      </c>
      <c r="G351" s="580">
        <v>32400</v>
      </c>
      <c r="H351" s="581" t="s">
        <v>4158</v>
      </c>
    </row>
    <row r="352" spans="1:8" ht="19.5" thickBot="1">
      <c r="A352" s="576"/>
      <c r="B352" s="576" t="s">
        <v>25</v>
      </c>
      <c r="C352" s="577" t="s">
        <v>26</v>
      </c>
      <c r="D352" s="576"/>
      <c r="E352" s="578" t="s">
        <v>1319</v>
      </c>
      <c r="F352" s="579" t="s">
        <v>78</v>
      </c>
      <c r="G352" s="580">
        <v>36000</v>
      </c>
      <c r="H352" s="581" t="s">
        <v>4158</v>
      </c>
    </row>
    <row r="353" spans="1:8" ht="19.5" thickBot="1">
      <c r="A353" s="576"/>
      <c r="B353" s="576" t="s">
        <v>25</v>
      </c>
      <c r="C353" s="577" t="s">
        <v>26</v>
      </c>
      <c r="D353" s="576"/>
      <c r="E353" s="578" t="s">
        <v>1114</v>
      </c>
      <c r="F353" s="579" t="s">
        <v>78</v>
      </c>
      <c r="G353" s="580">
        <v>40200</v>
      </c>
      <c r="H353" s="581" t="s">
        <v>4158</v>
      </c>
    </row>
    <row r="354" spans="1:8" ht="19.5" thickBot="1">
      <c r="A354" s="576"/>
      <c r="B354" s="576" t="s">
        <v>25</v>
      </c>
      <c r="C354" s="577" t="s">
        <v>26</v>
      </c>
      <c r="D354" s="576"/>
      <c r="E354" s="578" t="s">
        <v>4142</v>
      </c>
      <c r="F354" s="579" t="s">
        <v>78</v>
      </c>
      <c r="G354" s="580">
        <v>42300</v>
      </c>
      <c r="H354" s="581" t="s">
        <v>4158</v>
      </c>
    </row>
    <row r="355" spans="1:8" ht="19.5" thickBot="1">
      <c r="A355" s="576"/>
      <c r="B355" s="576" t="s">
        <v>25</v>
      </c>
      <c r="C355" s="577" t="s">
        <v>26</v>
      </c>
      <c r="D355" s="576"/>
      <c r="E355" s="578" t="s">
        <v>1117</v>
      </c>
      <c r="F355" s="579" t="s">
        <v>78</v>
      </c>
      <c r="G355" s="580">
        <v>47000</v>
      </c>
      <c r="H355" s="581" t="s">
        <v>4158</v>
      </c>
    </row>
    <row r="356" spans="1:8" ht="19.5" thickBot="1">
      <c r="A356" s="576"/>
      <c r="B356" s="576" t="s">
        <v>25</v>
      </c>
      <c r="C356" s="577" t="s">
        <v>26</v>
      </c>
      <c r="D356" s="576"/>
      <c r="E356" s="578" t="s">
        <v>4116</v>
      </c>
      <c r="F356" s="579" t="s">
        <v>78</v>
      </c>
      <c r="G356" s="580">
        <v>51200</v>
      </c>
      <c r="H356" s="581" t="s">
        <v>4158</v>
      </c>
    </row>
    <row r="357" spans="1:8" ht="38.25" thickBot="1">
      <c r="A357" s="537" t="s">
        <v>10</v>
      </c>
      <c r="B357" s="537" t="s">
        <v>2</v>
      </c>
      <c r="C357" s="537" t="s">
        <v>3</v>
      </c>
      <c r="D357" s="537" t="s">
        <v>4</v>
      </c>
      <c r="E357" s="537" t="s">
        <v>2754</v>
      </c>
      <c r="F357" s="538" t="s">
        <v>3600</v>
      </c>
      <c r="G357" s="538" t="s">
        <v>7</v>
      </c>
      <c r="H357" s="538" t="s">
        <v>8</v>
      </c>
    </row>
    <row r="358" spans="1:8" ht="19.5" thickBot="1">
      <c r="A358" s="576"/>
      <c r="B358" s="576" t="s">
        <v>25</v>
      </c>
      <c r="C358" s="577" t="s">
        <v>26</v>
      </c>
      <c r="D358" s="576"/>
      <c r="E358" s="578" t="s">
        <v>691</v>
      </c>
      <c r="F358" s="579" t="s">
        <v>78</v>
      </c>
      <c r="G358" s="580">
        <v>53300</v>
      </c>
      <c r="H358" s="581" t="s">
        <v>4158</v>
      </c>
    </row>
    <row r="359" spans="1:8" ht="19.5" thickBot="1">
      <c r="A359" s="576"/>
      <c r="B359" s="576" t="s">
        <v>25</v>
      </c>
      <c r="C359" s="577" t="s">
        <v>26</v>
      </c>
      <c r="D359" s="576"/>
      <c r="E359" s="578" t="s">
        <v>701</v>
      </c>
      <c r="F359" s="579" t="s">
        <v>78</v>
      </c>
      <c r="G359" s="580">
        <v>57000</v>
      </c>
      <c r="H359" s="581" t="s">
        <v>4158</v>
      </c>
    </row>
    <row r="360" spans="1:8" ht="38.25" thickBot="1">
      <c r="A360" s="576"/>
      <c r="B360" s="576" t="s">
        <v>25</v>
      </c>
      <c r="C360" s="577" t="s">
        <v>26</v>
      </c>
      <c r="D360" s="576"/>
      <c r="E360" s="578" t="s">
        <v>1321</v>
      </c>
      <c r="F360" s="579" t="s">
        <v>78</v>
      </c>
      <c r="G360" s="580">
        <v>30100</v>
      </c>
      <c r="H360" s="581" t="s">
        <v>4158</v>
      </c>
    </row>
    <row r="361" spans="1:8" ht="38.25" thickBot="1">
      <c r="A361" s="576"/>
      <c r="B361" s="576" t="s">
        <v>25</v>
      </c>
      <c r="C361" s="577" t="s">
        <v>26</v>
      </c>
      <c r="D361" s="576"/>
      <c r="E361" s="578" t="s">
        <v>1322</v>
      </c>
      <c r="F361" s="579" t="s">
        <v>78</v>
      </c>
      <c r="G361" s="580">
        <v>34800</v>
      </c>
      <c r="H361" s="581" t="s">
        <v>4158</v>
      </c>
    </row>
    <row r="362" spans="1:8" ht="38.25" thickBot="1">
      <c r="A362" s="576"/>
      <c r="B362" s="576" t="s">
        <v>25</v>
      </c>
      <c r="C362" s="577" t="s">
        <v>26</v>
      </c>
      <c r="D362" s="576"/>
      <c r="E362" s="578" t="s">
        <v>1324</v>
      </c>
      <c r="F362" s="579" t="s">
        <v>78</v>
      </c>
      <c r="G362" s="580">
        <v>41500</v>
      </c>
      <c r="H362" s="581" t="s">
        <v>4158</v>
      </c>
    </row>
    <row r="363" spans="1:8" ht="38.25" thickBot="1">
      <c r="A363" s="576"/>
      <c r="B363" s="576" t="s">
        <v>25</v>
      </c>
      <c r="C363" s="577" t="s">
        <v>26</v>
      </c>
      <c r="D363" s="576"/>
      <c r="E363" s="578" t="s">
        <v>1326</v>
      </c>
      <c r="F363" s="579" t="s">
        <v>78</v>
      </c>
      <c r="G363" s="580">
        <v>43400</v>
      </c>
      <c r="H363" s="581" t="s">
        <v>4158</v>
      </c>
    </row>
    <row r="364" spans="1:8" ht="38.25" thickBot="1">
      <c r="A364" s="576"/>
      <c r="B364" s="576" t="s">
        <v>25</v>
      </c>
      <c r="C364" s="577" t="s">
        <v>26</v>
      </c>
      <c r="D364" s="576"/>
      <c r="E364" s="578" t="s">
        <v>1328</v>
      </c>
      <c r="F364" s="579" t="s">
        <v>78</v>
      </c>
      <c r="G364" s="580">
        <v>48100</v>
      </c>
      <c r="H364" s="581" t="s">
        <v>4158</v>
      </c>
    </row>
    <row r="365" spans="1:8" ht="38.25" thickBot="1">
      <c r="A365" s="576"/>
      <c r="B365" s="576" t="s">
        <v>25</v>
      </c>
      <c r="C365" s="577" t="s">
        <v>26</v>
      </c>
      <c r="D365" s="576"/>
      <c r="E365" s="578" t="s">
        <v>1330</v>
      </c>
      <c r="F365" s="579" t="s">
        <v>78</v>
      </c>
      <c r="G365" s="580">
        <v>55400</v>
      </c>
      <c r="H365" s="581" t="s">
        <v>4158</v>
      </c>
    </row>
    <row r="366" spans="1:8" ht="38.25" thickBot="1">
      <c r="A366" s="576"/>
      <c r="B366" s="576" t="s">
        <v>25</v>
      </c>
      <c r="C366" s="577" t="s">
        <v>26</v>
      </c>
      <c r="D366" s="576"/>
      <c r="E366" s="578" t="s">
        <v>1332</v>
      </c>
      <c r="F366" s="579" t="s">
        <v>78</v>
      </c>
      <c r="G366" s="580">
        <v>62700</v>
      </c>
      <c r="H366" s="581" t="s">
        <v>4158</v>
      </c>
    </row>
    <row r="367" spans="1:8" ht="38.25" thickBot="1">
      <c r="A367" s="576"/>
      <c r="B367" s="576" t="s">
        <v>25</v>
      </c>
      <c r="C367" s="577" t="s">
        <v>26</v>
      </c>
      <c r="D367" s="576"/>
      <c r="E367" s="578" t="s">
        <v>1334</v>
      </c>
      <c r="F367" s="579" t="s">
        <v>78</v>
      </c>
      <c r="G367" s="580">
        <v>71000</v>
      </c>
      <c r="H367" s="581" t="s">
        <v>4158</v>
      </c>
    </row>
    <row r="368" spans="1:8" ht="19.5" thickBot="1">
      <c r="A368" s="576"/>
      <c r="B368" s="576" t="s">
        <v>25</v>
      </c>
      <c r="C368" s="577" t="s">
        <v>26</v>
      </c>
      <c r="D368" s="576"/>
      <c r="E368" s="578" t="s">
        <v>4147</v>
      </c>
      <c r="F368" s="579" t="s">
        <v>78</v>
      </c>
      <c r="G368" s="580">
        <v>17000</v>
      </c>
      <c r="H368" s="581" t="s">
        <v>4158</v>
      </c>
    </row>
    <row r="369" spans="1:8" ht="19.5" thickBot="1">
      <c r="A369" s="576"/>
      <c r="B369" s="576" t="s">
        <v>25</v>
      </c>
      <c r="C369" s="577" t="s">
        <v>26</v>
      </c>
      <c r="D369" s="576"/>
      <c r="E369" s="578" t="s">
        <v>4148</v>
      </c>
      <c r="F369" s="579" t="s">
        <v>78</v>
      </c>
      <c r="G369" s="580">
        <v>21000</v>
      </c>
      <c r="H369" s="581" t="s">
        <v>4158</v>
      </c>
    </row>
    <row r="370" spans="1:8" ht="19.5" thickBot="1">
      <c r="A370" s="576"/>
      <c r="B370" s="576" t="s">
        <v>25</v>
      </c>
      <c r="C370" s="577" t="s">
        <v>26</v>
      </c>
      <c r="D370" s="576"/>
      <c r="E370" s="578" t="s">
        <v>4149</v>
      </c>
      <c r="F370" s="579" t="s">
        <v>78</v>
      </c>
      <c r="G370" s="580">
        <v>20000</v>
      </c>
      <c r="H370" s="581" t="s">
        <v>4158</v>
      </c>
    </row>
    <row r="371" spans="1:8" ht="19.5" thickBot="1">
      <c r="A371" s="576"/>
      <c r="B371" s="576" t="s">
        <v>25</v>
      </c>
      <c r="C371" s="577" t="s">
        <v>26</v>
      </c>
      <c r="D371" s="576"/>
      <c r="E371" s="578" t="s">
        <v>4150</v>
      </c>
      <c r="F371" s="579" t="s">
        <v>78</v>
      </c>
      <c r="G371" s="580">
        <v>28000</v>
      </c>
      <c r="H371" s="581" t="s">
        <v>4158</v>
      </c>
    </row>
    <row r="372" spans="1:8" ht="19.5" thickBot="1">
      <c r="A372" s="576"/>
      <c r="B372" s="576" t="s">
        <v>25</v>
      </c>
      <c r="C372" s="577" t="s">
        <v>26</v>
      </c>
      <c r="D372" s="576"/>
      <c r="E372" s="578" t="s">
        <v>4151</v>
      </c>
      <c r="F372" s="579" t="s">
        <v>78</v>
      </c>
      <c r="G372" s="580">
        <v>24200</v>
      </c>
      <c r="H372" s="581" t="s">
        <v>4158</v>
      </c>
    </row>
    <row r="373" spans="1:8" ht="19.5" thickBot="1">
      <c r="A373" s="576"/>
      <c r="B373" s="576" t="s">
        <v>25</v>
      </c>
      <c r="C373" s="577" t="s">
        <v>26</v>
      </c>
      <c r="D373" s="576"/>
      <c r="E373" s="578" t="s">
        <v>4152</v>
      </c>
      <c r="F373" s="579" t="s">
        <v>78</v>
      </c>
      <c r="G373" s="580">
        <v>27400</v>
      </c>
      <c r="H373" s="581" t="s">
        <v>4158</v>
      </c>
    </row>
    <row r="374" spans="1:8" ht="19.5" thickBot="1">
      <c r="A374" s="576"/>
      <c r="B374" s="576" t="s">
        <v>25</v>
      </c>
      <c r="C374" s="577" t="s">
        <v>26</v>
      </c>
      <c r="D374" s="576"/>
      <c r="E374" s="578" t="s">
        <v>4153</v>
      </c>
      <c r="F374" s="579" t="s">
        <v>78</v>
      </c>
      <c r="G374" s="580">
        <v>29900</v>
      </c>
      <c r="H374" s="581" t="s">
        <v>4158</v>
      </c>
    </row>
    <row r="375" spans="1:8" ht="19.5" thickBot="1">
      <c r="A375" s="576"/>
      <c r="B375" s="576" t="s">
        <v>25</v>
      </c>
      <c r="C375" s="577" t="s">
        <v>26</v>
      </c>
      <c r="D375" s="576"/>
      <c r="E375" s="578" t="s">
        <v>4154</v>
      </c>
      <c r="F375" s="579" t="s">
        <v>78</v>
      </c>
      <c r="G375" s="580">
        <v>36400</v>
      </c>
      <c r="H375" s="581" t="s">
        <v>4158</v>
      </c>
    </row>
    <row r="376" spans="1:8" ht="19.5" thickBot="1">
      <c r="A376" s="576"/>
      <c r="B376" s="576" t="s">
        <v>25</v>
      </c>
      <c r="C376" s="577" t="s">
        <v>26</v>
      </c>
      <c r="D376" s="576"/>
      <c r="E376" s="578" t="s">
        <v>1342</v>
      </c>
      <c r="F376" s="579" t="s">
        <v>78</v>
      </c>
      <c r="G376" s="580">
        <v>58000</v>
      </c>
      <c r="H376" s="581" t="s">
        <v>4158</v>
      </c>
    </row>
    <row r="377" spans="1:8" ht="19.5" thickBot="1">
      <c r="A377" s="576"/>
      <c r="B377" s="576" t="s">
        <v>25</v>
      </c>
      <c r="C377" s="577" t="s">
        <v>26</v>
      </c>
      <c r="D377" s="576"/>
      <c r="E377" s="578" t="s">
        <v>1343</v>
      </c>
      <c r="F377" s="579" t="s">
        <v>78</v>
      </c>
      <c r="G377" s="580">
        <v>61000</v>
      </c>
      <c r="H377" s="581" t="s">
        <v>4158</v>
      </c>
    </row>
    <row r="378" spans="1:8" ht="19.5" thickBot="1">
      <c r="A378" s="576"/>
      <c r="B378" s="576" t="s">
        <v>25</v>
      </c>
      <c r="C378" s="577" t="s">
        <v>26</v>
      </c>
      <c r="D378" s="576"/>
      <c r="E378" s="578" t="s">
        <v>1345</v>
      </c>
      <c r="F378" s="579" t="s">
        <v>78</v>
      </c>
      <c r="G378" s="580">
        <v>54300</v>
      </c>
      <c r="H378" s="581" t="s">
        <v>4158</v>
      </c>
    </row>
    <row r="379" spans="1:8" ht="19.5" thickBot="1">
      <c r="A379" s="576"/>
      <c r="B379" s="576" t="s">
        <v>25</v>
      </c>
      <c r="C379" s="577" t="s">
        <v>26</v>
      </c>
      <c r="D379" s="576"/>
      <c r="E379" s="578" t="s">
        <v>1346</v>
      </c>
      <c r="F379" s="579" t="s">
        <v>78</v>
      </c>
      <c r="G379" s="580">
        <v>52000</v>
      </c>
      <c r="H379" s="581" t="s">
        <v>4158</v>
      </c>
    </row>
    <row r="380" spans="1:8" ht="19.5" thickBot="1">
      <c r="A380" s="576"/>
      <c r="B380" s="576" t="s">
        <v>25</v>
      </c>
      <c r="C380" s="577" t="s">
        <v>26</v>
      </c>
      <c r="D380" s="576"/>
      <c r="E380" s="578" t="s">
        <v>1347</v>
      </c>
      <c r="F380" s="579" t="s">
        <v>78</v>
      </c>
      <c r="G380" s="580">
        <v>18000</v>
      </c>
      <c r="H380" s="581" t="s">
        <v>4158</v>
      </c>
    </row>
    <row r="381" spans="1:8" ht="19.5" thickBot="1">
      <c r="A381" s="576"/>
      <c r="B381" s="576" t="s">
        <v>25</v>
      </c>
      <c r="C381" s="577" t="s">
        <v>26</v>
      </c>
      <c r="D381" s="576"/>
      <c r="E381" s="578" t="s">
        <v>1348</v>
      </c>
      <c r="F381" s="579" t="s">
        <v>78</v>
      </c>
      <c r="G381" s="580">
        <v>19000</v>
      </c>
      <c r="H381" s="581" t="s">
        <v>4158</v>
      </c>
    </row>
    <row r="382" spans="1:8" ht="19.5" thickBot="1">
      <c r="A382" s="576"/>
      <c r="B382" s="576" t="s">
        <v>25</v>
      </c>
      <c r="C382" s="577" t="s">
        <v>26</v>
      </c>
      <c r="D382" s="576"/>
      <c r="E382" s="578" t="s">
        <v>1351</v>
      </c>
      <c r="F382" s="579" t="s">
        <v>78</v>
      </c>
      <c r="G382" s="580">
        <v>17800</v>
      </c>
      <c r="H382" s="581" t="s">
        <v>4158</v>
      </c>
    </row>
    <row r="383" spans="1:8" ht="19.5" thickBot="1">
      <c r="A383" s="576"/>
      <c r="B383" s="576" t="s">
        <v>25</v>
      </c>
      <c r="C383" s="577" t="s">
        <v>26</v>
      </c>
      <c r="D383" s="576"/>
      <c r="E383" s="578" t="s">
        <v>1352</v>
      </c>
      <c r="F383" s="579" t="s">
        <v>78</v>
      </c>
      <c r="G383" s="580">
        <v>85000</v>
      </c>
      <c r="H383" s="581" t="s">
        <v>4158</v>
      </c>
    </row>
    <row r="384" spans="1:8" ht="19.5" thickBot="1">
      <c r="A384" s="576"/>
      <c r="B384" s="576" t="s">
        <v>25</v>
      </c>
      <c r="C384" s="577" t="s">
        <v>26</v>
      </c>
      <c r="D384" s="576"/>
      <c r="E384" s="578" t="s">
        <v>1353</v>
      </c>
      <c r="F384" s="579" t="s">
        <v>78</v>
      </c>
      <c r="G384" s="580">
        <v>45000</v>
      </c>
      <c r="H384" s="581" t="s">
        <v>4158</v>
      </c>
    </row>
    <row r="385" spans="1:8" ht="19.5" thickBot="1">
      <c r="A385" s="576"/>
      <c r="B385" s="576" t="s">
        <v>25</v>
      </c>
      <c r="C385" s="577" t="s">
        <v>26</v>
      </c>
      <c r="D385" s="576"/>
      <c r="E385" s="578" t="s">
        <v>1354</v>
      </c>
      <c r="F385" s="579" t="s">
        <v>78</v>
      </c>
      <c r="G385" s="580">
        <v>95000</v>
      </c>
      <c r="H385" s="581" t="s">
        <v>4158</v>
      </c>
    </row>
    <row r="386" spans="1:8" ht="38.25" thickBot="1">
      <c r="A386" s="537" t="s">
        <v>10</v>
      </c>
      <c r="B386" s="537" t="s">
        <v>2</v>
      </c>
      <c r="C386" s="537" t="s">
        <v>3</v>
      </c>
      <c r="D386" s="537" t="s">
        <v>4</v>
      </c>
      <c r="E386" s="537" t="s">
        <v>2754</v>
      </c>
      <c r="F386" s="538" t="s">
        <v>3600</v>
      </c>
      <c r="G386" s="538" t="s">
        <v>7</v>
      </c>
      <c r="H386" s="538" t="s">
        <v>8</v>
      </c>
    </row>
    <row r="387" spans="1:8" ht="38.25" thickBot="1">
      <c r="A387" s="576"/>
      <c r="B387" s="576" t="s">
        <v>25</v>
      </c>
      <c r="C387" s="577" t="s">
        <v>26</v>
      </c>
      <c r="D387" s="576"/>
      <c r="E387" s="578" t="s">
        <v>1355</v>
      </c>
      <c r="F387" s="579" t="s">
        <v>78</v>
      </c>
      <c r="G387" s="580">
        <v>13400</v>
      </c>
      <c r="H387" s="581" t="s">
        <v>4158</v>
      </c>
    </row>
    <row r="388" spans="1:8" ht="38.25" thickBot="1">
      <c r="A388" s="576"/>
      <c r="B388" s="576" t="s">
        <v>25</v>
      </c>
      <c r="C388" s="577" t="s">
        <v>26</v>
      </c>
      <c r="D388" s="576"/>
      <c r="E388" s="578" t="s">
        <v>1356</v>
      </c>
      <c r="F388" s="579" t="s">
        <v>78</v>
      </c>
      <c r="G388" s="580">
        <v>22500</v>
      </c>
      <c r="H388" s="581" t="s">
        <v>4158</v>
      </c>
    </row>
    <row r="389" spans="1:8" ht="19.5" thickBot="1">
      <c r="A389" s="576"/>
      <c r="B389" s="576" t="s">
        <v>25</v>
      </c>
      <c r="C389" s="577" t="s">
        <v>26</v>
      </c>
      <c r="D389" s="576"/>
      <c r="E389" s="578" t="s">
        <v>4166</v>
      </c>
      <c r="F389" s="579" t="s">
        <v>78</v>
      </c>
      <c r="G389" s="580">
        <v>9500</v>
      </c>
      <c r="H389" s="581" t="s">
        <v>4158</v>
      </c>
    </row>
    <row r="390" spans="1:8" ht="19.5" thickBot="1">
      <c r="A390" s="576"/>
      <c r="B390" s="576" t="s">
        <v>25</v>
      </c>
      <c r="C390" s="577" t="s">
        <v>26</v>
      </c>
      <c r="D390" s="576"/>
      <c r="E390" s="578" t="s">
        <v>4165</v>
      </c>
      <c r="F390" s="579" t="s">
        <v>78</v>
      </c>
      <c r="G390" s="580">
        <v>16000</v>
      </c>
      <c r="H390" s="581" t="s">
        <v>4158</v>
      </c>
    </row>
    <row r="391" spans="1:8" ht="19.5" thickBot="1">
      <c r="A391" s="576"/>
      <c r="B391" s="576" t="s">
        <v>25</v>
      </c>
      <c r="C391" s="577" t="s">
        <v>26</v>
      </c>
      <c r="D391" s="576"/>
      <c r="E391" s="578" t="s">
        <v>4164</v>
      </c>
      <c r="F391" s="579" t="s">
        <v>78</v>
      </c>
      <c r="G391" s="580">
        <v>20000</v>
      </c>
      <c r="H391" s="581" t="s">
        <v>4158</v>
      </c>
    </row>
    <row r="392" spans="1:8" ht="19.5" thickBot="1">
      <c r="A392" s="576"/>
      <c r="B392" s="576" t="s">
        <v>25</v>
      </c>
      <c r="C392" s="577" t="s">
        <v>26</v>
      </c>
      <c r="D392" s="576"/>
      <c r="E392" s="578" t="s">
        <v>4163</v>
      </c>
      <c r="F392" s="579" t="s">
        <v>78</v>
      </c>
      <c r="G392" s="580">
        <v>11000</v>
      </c>
      <c r="H392" s="581" t="s">
        <v>4158</v>
      </c>
    </row>
    <row r="393" spans="1:8" ht="19.5" thickBot="1">
      <c r="A393" s="576"/>
      <c r="B393" s="576" t="s">
        <v>25</v>
      </c>
      <c r="C393" s="577" t="s">
        <v>26</v>
      </c>
      <c r="D393" s="576"/>
      <c r="E393" s="578" t="s">
        <v>1362</v>
      </c>
      <c r="F393" s="579" t="s">
        <v>78</v>
      </c>
      <c r="G393" s="580">
        <v>11000</v>
      </c>
      <c r="H393" s="581" t="s">
        <v>4158</v>
      </c>
    </row>
    <row r="394" spans="1:8" ht="19.5" thickBot="1">
      <c r="A394" s="576"/>
      <c r="B394" s="576" t="s">
        <v>25</v>
      </c>
      <c r="C394" s="577" t="s">
        <v>26</v>
      </c>
      <c r="D394" s="576"/>
      <c r="E394" s="578" t="s">
        <v>1363</v>
      </c>
      <c r="F394" s="579" t="s">
        <v>78</v>
      </c>
      <c r="G394" s="580">
        <v>15000</v>
      </c>
      <c r="H394" s="581" t="s">
        <v>4158</v>
      </c>
    </row>
    <row r="395" spans="1:8" ht="19.5" thickBot="1">
      <c r="A395" s="576"/>
      <c r="B395" s="576" t="s">
        <v>25</v>
      </c>
      <c r="C395" s="577" t="s">
        <v>26</v>
      </c>
      <c r="D395" s="576"/>
      <c r="E395" s="578" t="s">
        <v>1364</v>
      </c>
      <c r="F395" s="579" t="s">
        <v>78</v>
      </c>
      <c r="G395" s="580">
        <v>27700</v>
      </c>
      <c r="H395" s="581" t="s">
        <v>4158</v>
      </c>
    </row>
    <row r="396" spans="1:8" ht="19.5" thickBot="1">
      <c r="A396" s="576"/>
      <c r="B396" s="576" t="s">
        <v>25</v>
      </c>
      <c r="C396" s="577" t="s">
        <v>26</v>
      </c>
      <c r="D396" s="576"/>
      <c r="E396" s="578" t="s">
        <v>1369</v>
      </c>
      <c r="F396" s="579" t="s">
        <v>28</v>
      </c>
      <c r="G396" s="580">
        <v>7500000</v>
      </c>
      <c r="H396" s="581" t="s">
        <v>4158</v>
      </c>
    </row>
    <row r="397" spans="1:8" ht="19.5" thickBot="1">
      <c r="A397" s="576"/>
      <c r="B397" s="576" t="s">
        <v>25</v>
      </c>
      <c r="C397" s="577" t="s">
        <v>26</v>
      </c>
      <c r="D397" s="576"/>
      <c r="E397" s="578" t="s">
        <v>1370</v>
      </c>
      <c r="F397" s="579" t="s">
        <v>28</v>
      </c>
      <c r="G397" s="580">
        <v>4000000</v>
      </c>
      <c r="H397" s="581" t="s">
        <v>4158</v>
      </c>
    </row>
    <row r="398" spans="1:8" ht="19.5" thickBot="1">
      <c r="A398" s="576"/>
      <c r="B398" s="576" t="s">
        <v>25</v>
      </c>
      <c r="C398" s="577" t="s">
        <v>26</v>
      </c>
      <c r="D398" s="576"/>
      <c r="E398" s="578" t="s">
        <v>1373</v>
      </c>
      <c r="F398" s="579" t="s">
        <v>28</v>
      </c>
      <c r="G398" s="580">
        <v>4500000</v>
      </c>
      <c r="H398" s="581" t="s">
        <v>4158</v>
      </c>
    </row>
    <row r="399" spans="1:8" ht="19.5" thickBot="1">
      <c r="A399" s="576"/>
      <c r="B399" s="576" t="s">
        <v>25</v>
      </c>
      <c r="C399" s="577" t="s">
        <v>26</v>
      </c>
      <c r="D399" s="576"/>
      <c r="E399" s="578" t="s">
        <v>1374</v>
      </c>
      <c r="F399" s="579" t="s">
        <v>28</v>
      </c>
      <c r="G399" s="580">
        <v>6800000</v>
      </c>
      <c r="H399" s="581" t="s">
        <v>4158</v>
      </c>
    </row>
    <row r="400" spans="1:8" ht="19.5" thickBot="1">
      <c r="A400" s="576"/>
      <c r="B400" s="576" t="s">
        <v>25</v>
      </c>
      <c r="C400" s="577" t="s">
        <v>26</v>
      </c>
      <c r="D400" s="576"/>
      <c r="E400" s="578" t="s">
        <v>1375</v>
      </c>
      <c r="F400" s="579" t="s">
        <v>28</v>
      </c>
      <c r="G400" s="580">
        <v>4000000</v>
      </c>
      <c r="H400" s="581" t="s">
        <v>4158</v>
      </c>
    </row>
    <row r="401" spans="1:8" ht="19.5" thickBot="1">
      <c r="A401" s="576"/>
      <c r="B401" s="576" t="s">
        <v>25</v>
      </c>
      <c r="C401" s="577" t="s">
        <v>26</v>
      </c>
      <c r="D401" s="576"/>
      <c r="E401" s="578" t="s">
        <v>4157</v>
      </c>
      <c r="F401" s="579" t="s">
        <v>28</v>
      </c>
      <c r="G401" s="580">
        <v>4500000</v>
      </c>
      <c r="H401" s="581" t="s">
        <v>4158</v>
      </c>
    </row>
    <row r="402" spans="1:8" ht="19.5" thickBot="1">
      <c r="A402" s="576"/>
      <c r="B402" s="576" t="s">
        <v>25</v>
      </c>
      <c r="C402" s="577" t="s">
        <v>26</v>
      </c>
      <c r="D402" s="576"/>
      <c r="E402" s="578" t="s">
        <v>1379</v>
      </c>
      <c r="F402" s="579" t="s">
        <v>28</v>
      </c>
      <c r="G402" s="580">
        <v>2800000</v>
      </c>
      <c r="H402" s="581" t="s">
        <v>4158</v>
      </c>
    </row>
    <row r="403" spans="1:8" ht="19.5" thickBot="1">
      <c r="A403" s="576"/>
      <c r="B403" s="576" t="s">
        <v>25</v>
      </c>
      <c r="C403" s="577" t="s">
        <v>26</v>
      </c>
      <c r="D403" s="576"/>
      <c r="E403" s="578" t="s">
        <v>1382</v>
      </c>
      <c r="F403" s="579" t="s">
        <v>28</v>
      </c>
      <c r="G403" s="580">
        <v>3300000</v>
      </c>
      <c r="H403" s="581" t="s">
        <v>4158</v>
      </c>
    </row>
    <row r="404" spans="1:8" ht="19.5" thickBot="1">
      <c r="A404" s="576"/>
      <c r="B404" s="576" t="s">
        <v>25</v>
      </c>
      <c r="C404" s="577" t="s">
        <v>26</v>
      </c>
      <c r="D404" s="576"/>
      <c r="E404" s="578" t="s">
        <v>1383</v>
      </c>
      <c r="F404" s="579" t="s">
        <v>28</v>
      </c>
      <c r="G404" s="580">
        <v>2900000</v>
      </c>
      <c r="H404" s="581" t="s">
        <v>4158</v>
      </c>
    </row>
    <row r="405" spans="1:8" ht="38.25" thickBot="1">
      <c r="A405" s="576"/>
      <c r="B405" s="576" t="s">
        <v>25</v>
      </c>
      <c r="C405" s="577" t="s">
        <v>26</v>
      </c>
      <c r="D405" s="576"/>
      <c r="E405" s="578" t="s">
        <v>4144</v>
      </c>
      <c r="F405" s="579" t="s">
        <v>28</v>
      </c>
      <c r="G405" s="580">
        <v>950000</v>
      </c>
      <c r="H405" s="581" t="s">
        <v>4158</v>
      </c>
    </row>
    <row r="406" spans="1:8" ht="38.25" thickBot="1">
      <c r="A406" s="576"/>
      <c r="B406" s="576" t="s">
        <v>25</v>
      </c>
      <c r="C406" s="577" t="s">
        <v>26</v>
      </c>
      <c r="D406" s="576"/>
      <c r="E406" s="578" t="s">
        <v>1385</v>
      </c>
      <c r="F406" s="579" t="s">
        <v>28</v>
      </c>
      <c r="G406" s="580">
        <v>2119000</v>
      </c>
      <c r="H406" s="581" t="s">
        <v>4158</v>
      </c>
    </row>
    <row r="407" spans="1:8" ht="38.25" thickBot="1">
      <c r="A407" s="576"/>
      <c r="B407" s="576" t="s">
        <v>25</v>
      </c>
      <c r="C407" s="577" t="s">
        <v>26</v>
      </c>
      <c r="D407" s="576"/>
      <c r="E407" s="578" t="s">
        <v>1386</v>
      </c>
      <c r="F407" s="579" t="s">
        <v>28</v>
      </c>
      <c r="G407" s="580">
        <v>2400000</v>
      </c>
      <c r="H407" s="581" t="s">
        <v>4158</v>
      </c>
    </row>
    <row r="408" spans="1:8" ht="19.5" thickBot="1">
      <c r="A408" s="576"/>
      <c r="B408" s="576" t="s">
        <v>25</v>
      </c>
      <c r="C408" s="577" t="s">
        <v>26</v>
      </c>
      <c r="D408" s="576"/>
      <c r="E408" s="578" t="s">
        <v>1387</v>
      </c>
      <c r="F408" s="579" t="s">
        <v>28</v>
      </c>
      <c r="G408" s="580">
        <v>398000</v>
      </c>
      <c r="H408" s="581" t="s">
        <v>4158</v>
      </c>
    </row>
    <row r="409" spans="1:8" ht="19.5" thickBot="1">
      <c r="A409" s="576"/>
      <c r="B409" s="576" t="s">
        <v>25</v>
      </c>
      <c r="C409" s="577" t="s">
        <v>26</v>
      </c>
      <c r="D409" s="576"/>
      <c r="E409" s="578" t="s">
        <v>4145</v>
      </c>
      <c r="F409" s="579" t="s">
        <v>28</v>
      </c>
      <c r="G409" s="580">
        <v>590000</v>
      </c>
      <c r="H409" s="581" t="s">
        <v>4158</v>
      </c>
    </row>
    <row r="410" spans="1:8" ht="19.5" thickBot="1">
      <c r="A410" s="576"/>
      <c r="B410" s="576" t="s">
        <v>25</v>
      </c>
      <c r="C410" s="577" t="s">
        <v>26</v>
      </c>
      <c r="D410" s="576"/>
      <c r="E410" s="578" t="s">
        <v>4146</v>
      </c>
      <c r="F410" s="579" t="s">
        <v>28</v>
      </c>
      <c r="G410" s="580">
        <v>1100000</v>
      </c>
      <c r="H410" s="581" t="s">
        <v>4158</v>
      </c>
    </row>
    <row r="411" spans="1:8" ht="19.5" thickBot="1">
      <c r="A411" s="576"/>
      <c r="B411" s="576" t="s">
        <v>25</v>
      </c>
      <c r="C411" s="577" t="s">
        <v>26</v>
      </c>
      <c r="D411" s="576"/>
      <c r="E411" s="578" t="s">
        <v>1390</v>
      </c>
      <c r="F411" s="579" t="s">
        <v>53</v>
      </c>
      <c r="G411" s="580">
        <v>8500</v>
      </c>
      <c r="H411" s="581" t="s">
        <v>4158</v>
      </c>
    </row>
    <row r="412" spans="1:8" ht="19.5" thickBot="1">
      <c r="A412" s="576"/>
      <c r="B412" s="576" t="s">
        <v>25</v>
      </c>
      <c r="C412" s="577" t="s">
        <v>26</v>
      </c>
      <c r="D412" s="576"/>
      <c r="E412" s="578" t="s">
        <v>1391</v>
      </c>
      <c r="F412" s="579" t="s">
        <v>53</v>
      </c>
      <c r="G412" s="580">
        <v>12000</v>
      </c>
      <c r="H412" s="581" t="s">
        <v>4158</v>
      </c>
    </row>
    <row r="413" spans="1:8" ht="19.5" thickBot="1">
      <c r="A413" s="576"/>
      <c r="B413" s="576" t="s">
        <v>25</v>
      </c>
      <c r="C413" s="577" t="s">
        <v>26</v>
      </c>
      <c r="D413" s="576"/>
      <c r="E413" s="578" t="s">
        <v>1392</v>
      </c>
      <c r="F413" s="579" t="s">
        <v>53</v>
      </c>
      <c r="G413" s="580">
        <v>17000</v>
      </c>
      <c r="H413" s="581" t="s">
        <v>4158</v>
      </c>
    </row>
    <row r="414" spans="1:8" ht="38.25" thickBot="1">
      <c r="A414" s="537" t="s">
        <v>10</v>
      </c>
      <c r="B414" s="537" t="s">
        <v>2</v>
      </c>
      <c r="C414" s="537" t="s">
        <v>3</v>
      </c>
      <c r="D414" s="537" t="s">
        <v>4</v>
      </c>
      <c r="E414" s="537" t="s">
        <v>2754</v>
      </c>
      <c r="F414" s="538" t="s">
        <v>3600</v>
      </c>
      <c r="G414" s="538" t="s">
        <v>7</v>
      </c>
      <c r="H414" s="538" t="s">
        <v>8</v>
      </c>
    </row>
    <row r="415" spans="1:8" ht="19.5" thickBot="1">
      <c r="A415" s="576"/>
      <c r="B415" s="576" t="s">
        <v>25</v>
      </c>
      <c r="C415" s="577" t="s">
        <v>26</v>
      </c>
      <c r="D415" s="576"/>
      <c r="E415" s="578" t="s">
        <v>1393</v>
      </c>
      <c r="F415" s="579" t="s">
        <v>78</v>
      </c>
      <c r="G415" s="580">
        <v>5600</v>
      </c>
      <c r="H415" s="581" t="s">
        <v>4158</v>
      </c>
    </row>
    <row r="416" spans="1:8" ht="19.5" thickBot="1">
      <c r="A416" s="576"/>
      <c r="B416" s="576" t="s">
        <v>25</v>
      </c>
      <c r="C416" s="577" t="s">
        <v>26</v>
      </c>
      <c r="D416" s="576"/>
      <c r="E416" s="578" t="s">
        <v>1394</v>
      </c>
      <c r="F416" s="579" t="s">
        <v>78</v>
      </c>
      <c r="G416" s="580">
        <v>6900</v>
      </c>
      <c r="H416" s="581" t="s">
        <v>4158</v>
      </c>
    </row>
    <row r="417" spans="1:8" ht="38.25" thickBot="1">
      <c r="A417" s="576"/>
      <c r="B417" s="614" t="s">
        <v>1396</v>
      </c>
      <c r="C417" s="577" t="s">
        <v>26</v>
      </c>
      <c r="D417" s="576"/>
      <c r="E417" s="578" t="s">
        <v>1397</v>
      </c>
      <c r="F417" s="579" t="s">
        <v>78</v>
      </c>
      <c r="G417" s="580">
        <v>47000</v>
      </c>
      <c r="H417" s="581" t="s">
        <v>4158</v>
      </c>
    </row>
    <row r="418" spans="1:8" ht="38.25" thickBot="1">
      <c r="A418" s="576"/>
      <c r="B418" s="614" t="s">
        <v>1396</v>
      </c>
      <c r="C418" s="577" t="s">
        <v>26</v>
      </c>
      <c r="D418" s="576"/>
      <c r="E418" s="578" t="s">
        <v>1399</v>
      </c>
      <c r="F418" s="579" t="s">
        <v>78</v>
      </c>
      <c r="G418" s="580">
        <v>55000</v>
      </c>
      <c r="H418" s="581" t="s">
        <v>4158</v>
      </c>
    </row>
    <row r="419" spans="1:8" ht="19.5" thickBot="1">
      <c r="A419" s="615"/>
      <c r="B419" s="614" t="s">
        <v>1396</v>
      </c>
      <c r="C419" s="577" t="s">
        <v>26</v>
      </c>
      <c r="D419" s="615"/>
      <c r="E419" s="616" t="s">
        <v>147</v>
      </c>
      <c r="F419" s="617" t="s">
        <v>78</v>
      </c>
      <c r="G419" s="618">
        <v>11000</v>
      </c>
      <c r="H419" s="581" t="s">
        <v>4158</v>
      </c>
    </row>
    <row r="420" spans="1:8" ht="19.5" thickBot="1">
      <c r="A420" s="615"/>
      <c r="B420" s="614" t="s">
        <v>1396</v>
      </c>
      <c r="C420" s="577" t="s">
        <v>26</v>
      </c>
      <c r="D420" s="615"/>
      <c r="E420" s="616" t="s">
        <v>149</v>
      </c>
      <c r="F420" s="617" t="s">
        <v>78</v>
      </c>
      <c r="G420" s="618">
        <v>17500</v>
      </c>
      <c r="H420" s="581" t="s">
        <v>4158</v>
      </c>
    </row>
    <row r="421" spans="1:8" ht="19.5" thickBot="1">
      <c r="A421" s="615"/>
      <c r="B421" s="576" t="s">
        <v>25</v>
      </c>
      <c r="C421" s="577" t="s">
        <v>26</v>
      </c>
      <c r="D421" s="615"/>
      <c r="E421" s="616" t="s">
        <v>4197</v>
      </c>
      <c r="F421" s="619" t="s">
        <v>78</v>
      </c>
      <c r="G421" s="620">
        <v>9500</v>
      </c>
      <c r="H421" s="581" t="s">
        <v>4158</v>
      </c>
    </row>
    <row r="422" spans="1:8" ht="19.5" thickBot="1">
      <c r="A422" s="615"/>
      <c r="B422" s="576" t="s">
        <v>25</v>
      </c>
      <c r="C422" s="577" t="s">
        <v>26</v>
      </c>
      <c r="D422" s="615"/>
      <c r="E422" s="616" t="s">
        <v>3695</v>
      </c>
      <c r="F422" s="619" t="s">
        <v>78</v>
      </c>
      <c r="G422" s="620">
        <v>13000</v>
      </c>
      <c r="H422" s="581" t="s">
        <v>4158</v>
      </c>
    </row>
    <row r="423" spans="1:8" ht="19.5" thickBot="1">
      <c r="A423" s="615"/>
      <c r="B423" s="576" t="s">
        <v>25</v>
      </c>
      <c r="C423" s="577" t="s">
        <v>26</v>
      </c>
      <c r="D423" s="615"/>
      <c r="E423" s="616" t="s">
        <v>3696</v>
      </c>
      <c r="F423" s="619" t="s">
        <v>78</v>
      </c>
      <c r="G423" s="620">
        <v>12000</v>
      </c>
      <c r="H423" s="581" t="s">
        <v>4158</v>
      </c>
    </row>
    <row r="424" spans="1:8" ht="19.5" thickBot="1">
      <c r="A424" s="615"/>
      <c r="B424" s="576" t="s">
        <v>25</v>
      </c>
      <c r="C424" s="577" t="s">
        <v>26</v>
      </c>
      <c r="D424" s="615"/>
      <c r="E424" s="616" t="s">
        <v>3697</v>
      </c>
      <c r="F424" s="619" t="s">
        <v>78</v>
      </c>
      <c r="G424" s="620">
        <v>182000</v>
      </c>
      <c r="H424" s="581" t="s">
        <v>4158</v>
      </c>
    </row>
    <row r="425" spans="1:8" ht="19.5" thickBot="1">
      <c r="A425" s="615"/>
      <c r="B425" s="576" t="s">
        <v>25</v>
      </c>
      <c r="C425" s="577" t="s">
        <v>26</v>
      </c>
      <c r="D425" s="615"/>
      <c r="E425" s="616" t="s">
        <v>4198</v>
      </c>
      <c r="F425" s="619" t="s">
        <v>433</v>
      </c>
      <c r="G425" s="620">
        <v>5200</v>
      </c>
      <c r="H425" s="581" t="s">
        <v>4158</v>
      </c>
    </row>
    <row r="426" spans="1:8" ht="19.5" thickBot="1">
      <c r="A426" s="615"/>
      <c r="B426" s="576" t="s">
        <v>25</v>
      </c>
      <c r="C426" s="577" t="s">
        <v>26</v>
      </c>
      <c r="D426" s="615"/>
      <c r="E426" s="616" t="s">
        <v>4199</v>
      </c>
      <c r="F426" s="619" t="s">
        <v>433</v>
      </c>
      <c r="G426" s="620">
        <v>6400</v>
      </c>
      <c r="H426" s="581" t="s">
        <v>4158</v>
      </c>
    </row>
    <row r="427" spans="1:8" ht="19.5" thickBot="1">
      <c r="A427" s="615"/>
      <c r="B427" s="576" t="s">
        <v>25</v>
      </c>
      <c r="C427" s="577" t="s">
        <v>26</v>
      </c>
      <c r="D427" s="615"/>
      <c r="E427" s="616" t="s">
        <v>4200</v>
      </c>
      <c r="F427" s="619" t="s">
        <v>433</v>
      </c>
      <c r="G427" s="620">
        <v>8300</v>
      </c>
      <c r="H427" s="581" t="s">
        <v>4158</v>
      </c>
    </row>
    <row r="428" spans="1:8" s="448" customFormat="1" ht="19.5" thickBot="1">
      <c r="A428" s="615"/>
      <c r="B428" s="576" t="s">
        <v>25</v>
      </c>
      <c r="C428" s="577" t="s">
        <v>26</v>
      </c>
      <c r="D428" s="615"/>
      <c r="E428" s="616" t="s">
        <v>4201</v>
      </c>
      <c r="F428" s="619" t="s">
        <v>433</v>
      </c>
      <c r="G428" s="620">
        <v>9300</v>
      </c>
      <c r="H428" s="581" t="s">
        <v>4158</v>
      </c>
    </row>
    <row r="429" spans="1:8" s="448" customFormat="1" ht="19.5" thickBot="1">
      <c r="A429" s="615"/>
      <c r="B429" s="576" t="s">
        <v>25</v>
      </c>
      <c r="C429" s="577" t="s">
        <v>26</v>
      </c>
      <c r="D429" s="615"/>
      <c r="E429" s="616" t="s">
        <v>4202</v>
      </c>
      <c r="F429" s="619" t="s">
        <v>433</v>
      </c>
      <c r="G429" s="620">
        <v>6400</v>
      </c>
      <c r="H429" s="581" t="s">
        <v>4158</v>
      </c>
    </row>
    <row r="430" spans="1:8" s="448" customFormat="1" ht="19.5" thickBot="1">
      <c r="A430" s="615"/>
      <c r="B430" s="576" t="s">
        <v>25</v>
      </c>
      <c r="C430" s="577" t="s">
        <v>26</v>
      </c>
      <c r="D430" s="615"/>
      <c r="E430" s="616" t="s">
        <v>4203</v>
      </c>
      <c r="F430" s="619" t="s">
        <v>433</v>
      </c>
      <c r="G430" s="620">
        <v>8700</v>
      </c>
      <c r="H430" s="581" t="s">
        <v>4158</v>
      </c>
    </row>
    <row r="431" spans="1:8" s="448" customFormat="1" ht="19.5" thickBot="1">
      <c r="A431" s="615"/>
      <c r="B431" s="576" t="s">
        <v>25</v>
      </c>
      <c r="C431" s="577" t="s">
        <v>26</v>
      </c>
      <c r="D431" s="615"/>
      <c r="E431" s="616" t="s">
        <v>4204</v>
      </c>
      <c r="F431" s="619" t="s">
        <v>433</v>
      </c>
      <c r="G431" s="620">
        <v>11300</v>
      </c>
      <c r="H431" s="581" t="s">
        <v>4158</v>
      </c>
    </row>
    <row r="432" spans="1:8" s="448" customFormat="1" ht="19.5" thickBot="1">
      <c r="A432" s="615"/>
      <c r="B432" s="576" t="s">
        <v>25</v>
      </c>
      <c r="C432" s="577" t="s">
        <v>26</v>
      </c>
      <c r="D432" s="615"/>
      <c r="E432" s="616" t="s">
        <v>4205</v>
      </c>
      <c r="F432" s="619" t="s">
        <v>433</v>
      </c>
      <c r="G432" s="620">
        <v>15000</v>
      </c>
      <c r="H432" s="581" t="s">
        <v>4158</v>
      </c>
    </row>
    <row r="433" spans="1:8" ht="19.5" thickBot="1">
      <c r="A433" s="615"/>
      <c r="B433" s="576" t="s">
        <v>25</v>
      </c>
      <c r="C433" s="577" t="s">
        <v>26</v>
      </c>
      <c r="D433" s="615"/>
      <c r="E433" s="616" t="s">
        <v>4206</v>
      </c>
      <c r="F433" s="619" t="s">
        <v>433</v>
      </c>
      <c r="G433" s="620">
        <v>18100</v>
      </c>
      <c r="H433" s="581" t="s">
        <v>4158</v>
      </c>
    </row>
    <row r="434" spans="1:8" ht="21.75" customHeight="1" thickBot="1">
      <c r="A434" s="615"/>
      <c r="B434" s="576" t="s">
        <v>25</v>
      </c>
      <c r="C434" s="577" t="s">
        <v>26</v>
      </c>
      <c r="D434" s="615"/>
      <c r="E434" s="616" t="s">
        <v>328</v>
      </c>
      <c r="F434" s="619" t="s">
        <v>78</v>
      </c>
      <c r="G434" s="620">
        <v>66000</v>
      </c>
      <c r="H434" s="581" t="s">
        <v>4158</v>
      </c>
    </row>
    <row r="435" spans="1:8" ht="19.5" thickBot="1">
      <c r="A435" s="615"/>
      <c r="B435" s="576" t="s">
        <v>25</v>
      </c>
      <c r="C435" s="577" t="s">
        <v>26</v>
      </c>
      <c r="D435" s="615"/>
      <c r="E435" s="616" t="s">
        <v>241</v>
      </c>
      <c r="F435" s="619" t="s">
        <v>78</v>
      </c>
      <c r="G435" s="620">
        <v>13800</v>
      </c>
      <c r="H435" s="581" t="s">
        <v>4158</v>
      </c>
    </row>
    <row r="436" spans="1:8" ht="19.5" thickBot="1">
      <c r="A436" s="615"/>
      <c r="B436" s="576" t="s">
        <v>25</v>
      </c>
      <c r="C436" s="577" t="s">
        <v>26</v>
      </c>
      <c r="D436" s="615"/>
      <c r="E436" s="616" t="s">
        <v>245</v>
      </c>
      <c r="F436" s="619" t="s">
        <v>78</v>
      </c>
      <c r="G436" s="620">
        <v>16800</v>
      </c>
      <c r="H436" s="581" t="s">
        <v>4158</v>
      </c>
    </row>
    <row r="437" spans="1:8" ht="19.5" thickBot="1">
      <c r="A437" s="615"/>
      <c r="B437" s="576" t="s">
        <v>25</v>
      </c>
      <c r="C437" s="577" t="s">
        <v>26</v>
      </c>
      <c r="D437" s="615"/>
      <c r="E437" s="616" t="s">
        <v>247</v>
      </c>
      <c r="F437" s="619" t="s">
        <v>78</v>
      </c>
      <c r="G437" s="620">
        <v>34200</v>
      </c>
      <c r="H437" s="581" t="s">
        <v>4158</v>
      </c>
    </row>
    <row r="438" spans="1:8" ht="19.5" thickBot="1">
      <c r="A438" s="615"/>
      <c r="B438" s="576" t="s">
        <v>25</v>
      </c>
      <c r="C438" s="577" t="s">
        <v>26</v>
      </c>
      <c r="D438" s="615"/>
      <c r="E438" s="616" t="s">
        <v>141</v>
      </c>
      <c r="F438" s="619" t="s">
        <v>78</v>
      </c>
      <c r="G438" s="620">
        <v>21000</v>
      </c>
      <c r="H438" s="581" t="s">
        <v>4158</v>
      </c>
    </row>
  </sheetData>
  <autoFilter ref="A1:H169" xr:uid="{00000000-0009-0000-0000-000005000000}"/>
  <mergeCells count="25">
    <mergeCell ref="A326:H326"/>
    <mergeCell ref="A232:H232"/>
    <mergeCell ref="A277:H277"/>
    <mergeCell ref="A284:H284"/>
    <mergeCell ref="A315:H315"/>
    <mergeCell ref="A320:H320"/>
    <mergeCell ref="A324:H324"/>
    <mergeCell ref="A229:H229"/>
    <mergeCell ref="A70:H70"/>
    <mergeCell ref="A87:H87"/>
    <mergeCell ref="A116:H116"/>
    <mergeCell ref="A132:H132"/>
    <mergeCell ref="A170:H170"/>
    <mergeCell ref="A180:H180"/>
    <mergeCell ref="A185:H185"/>
    <mergeCell ref="A191:H191"/>
    <mergeCell ref="A195:H195"/>
    <mergeCell ref="A223:H223"/>
    <mergeCell ref="A226:H226"/>
    <mergeCell ref="A47:H47"/>
    <mergeCell ref="A2:H2"/>
    <mergeCell ref="A21:H21"/>
    <mergeCell ref="A24:H24"/>
    <mergeCell ref="A27:H27"/>
    <mergeCell ref="A39:H39"/>
  </mergeCells>
  <conditionalFormatting sqref="B203 B207 B236 B239:B241 B243 B287 D243 D287 B325:D325 B330:D331 B335:D335 B338:D338 B295:D297 C28:C38 B233 C332:C334 C336:C337 C171:C179 C192:C194 C224:C225 C227:C228 C230:C231 C276 C278:C283 C298:C314 C316:C319 C186:C190 C321:C323 C53:C57 C68 C181:C182 C184 C71:C80 C82:C86 C59:C62 C65 C88:C89 C91:C115 C117:C119 C121:C131 C133:C156 C158:C169 C196:C200 C202:C222 C233:C247 C249:C274 C285:C291 C293:C294 C327 C329 C339:C356 C358:C364 C366:C385 C387:C413 C415:C438">
    <cfRule type="beginsWith" dxfId="254" priority="11" operator="beginsWith" text="พัสดุ">
      <formula>LEFT((E28),LEN("พัสดุ"))=("พัสดุ")</formula>
    </cfRule>
  </conditionalFormatting>
  <conditionalFormatting sqref="B203 B207 B236 B239:B241 B243 B287 B325 B330:B331 B335 B338">
    <cfRule type="beginsWith" dxfId="253" priority="12" operator="beginsWith" text="พัสดุ">
      <formula>LEFT((E203),LEN("พัสดุ"))=("พัสดุ")</formula>
    </cfRule>
  </conditionalFormatting>
  <conditionalFormatting sqref="C129 C146 C181 B203">
    <cfRule type="beginsWith" dxfId="252" priority="13" operator="beginsWith" text="พัสดุ">
      <formula>LEFT((E129),LEN("พัสดุ"))=("พัสดุ")</formula>
    </cfRule>
  </conditionalFormatting>
  <conditionalFormatting sqref="E243 E287 E325 E330:E331 E335 E338 E240:E241 E295:E297">
    <cfRule type="beginsWith" dxfId="251" priority="14" operator="beginsWith" text="พัสดุ">
      <formula>LEFT((#REF!),LEN("พัสดุ"))=("พัสดุ")</formula>
    </cfRule>
  </conditionalFormatting>
  <conditionalFormatting sqref="H146 G295:H297">
    <cfRule type="beginsWith" dxfId="250" priority="15" operator="beginsWith" text="พัสดุ">
      <formula>LEFT((#REF!),LEN("พัสดุ"))=("พัสดุ")</formula>
    </cfRule>
  </conditionalFormatting>
  <conditionalFormatting sqref="H207 H233 H88 H181 H203 G239:H241 G243:H243 G287:H287 G325:H325 G330:G331 G335 G338 G236:H236">
    <cfRule type="beginsWith" dxfId="249" priority="16" operator="beginsWith" text="พัสดุ">
      <formula>LEFT((#REF!),LEN("พัสดุ"))=("พัสดุ")</formula>
    </cfRule>
  </conditionalFormatting>
  <conditionalFormatting sqref="F239:F241 F243 F287 F325 F330:F331 F335 F338 F295:F297">
    <cfRule type="beginsWith" dxfId="248" priority="17" operator="beginsWith" text="พัสดุ">
      <formula>LEFT((H239),LEN("พัสดุ"))=("พัสดุ")</formula>
    </cfRule>
  </conditionalFormatting>
  <conditionalFormatting sqref="A116 A132 A170 A180 A191 A195 A223 A226 A229 A232 A277 A284 A315 A320 A87 A185 A324">
    <cfRule type="beginsWith" dxfId="247" priority="18" operator="beginsWith" text="พัสดุ">
      <formula>LEFT((F87),LEN("พัสดุ"))=("พัสดุ")</formula>
    </cfRule>
  </conditionalFormatting>
  <conditionalFormatting sqref="A326">
    <cfRule type="beginsWith" dxfId="246" priority="10" operator="beginsWith" text="พัสดุ">
      <formula>LEFT((F326),LEN("พัสดุ"))=("พัสดุ")</formula>
    </cfRule>
  </conditionalFormatting>
  <conditionalFormatting sqref="C365">
    <cfRule type="beginsWith" dxfId="245" priority="9" operator="beginsWith" text="พัสดุ">
      <formula>LEFT((F365),LEN("พัสดุ"))=("พัสดุ")</formula>
    </cfRule>
  </conditionalFormatting>
  <conditionalFormatting sqref="C275">
    <cfRule type="beginsWith" dxfId="244" priority="8" operator="beginsWith" text="พัสดุ">
      <formula>LEFT((F275),LEN("พัสดุ"))=("พัสดุ")</formula>
    </cfRule>
  </conditionalFormatting>
  <dataValidations count="1">
    <dataValidation type="list" allowBlank="1" sqref="B224:B225 B227:B228 B316 B318:B319 B321:B323 B231 B171:B179 B192:B194 B278:B283 B325 B186:B190 B28:B38 B181:B184 B71:B86 B53:B68 B88:B115 B117:B131 B133:B169 B196:B222 B233:B276 B285:B314" xr:uid="{00000000-0002-0000-0500-000000000000}">
      <formula1>"กวก.ฯ,กอค.ฯ,กสน.ฯ,กรง.ฯ,กดก.ฯ,กปภ.ฯ,กฟฟ.ฯ,ชย.ทอ."</formula1>
    </dataValidation>
  </dataValidations>
  <hyperlinks>
    <hyperlink ref="H3" r:id="rId1" display="https://drive.google.com/open?id=1VdHj9VjX4_igB-pTZwbN0-0PYtbtaFJX" xr:uid="{00000000-0004-0000-0500-000000000000}"/>
    <hyperlink ref="H4" r:id="rId2" display="https://drive.google.com/open?id=0B2vBTVEfSzItZzBYV2cyTGtJLTA" xr:uid="{00000000-0004-0000-0500-000001000000}"/>
    <hyperlink ref="H5" r:id="rId3" display="https://drive.google.com/open?id=0B2vBTVEfSzItVDBzc3RwZ2F5SGM" xr:uid="{00000000-0004-0000-0500-000002000000}"/>
    <hyperlink ref="H6" r:id="rId4" display="https://drive.google.com/open?id=1KQe81ndxnboVCQ2wDiN-5qHbLV8orSNV" xr:uid="{00000000-0004-0000-0500-000003000000}"/>
    <hyperlink ref="H8" r:id="rId5" display="https://drive.google.com/open?id=1tbmxLDs2XdlTjG_MbgoWNjMI-uWEYO6s" xr:uid="{00000000-0004-0000-0500-000004000000}"/>
    <hyperlink ref="H9" r:id="rId6" display="https://drive.google.com/open?id=0B2rLR4BADrBtN1BLSnNrSHR1SUE" xr:uid="{00000000-0004-0000-0500-000005000000}"/>
    <hyperlink ref="H10" r:id="rId7" display="https://drive.google.com/open?id=0B2rLR4BADrBtallTanYxUTQ0eXc" xr:uid="{00000000-0004-0000-0500-000006000000}"/>
    <hyperlink ref="H11" r:id="rId8" display="https://drive.google.com/open?id=0B2rLR4BADrBtbmVab1pNaDZHcFU" xr:uid="{00000000-0004-0000-0500-000007000000}"/>
    <hyperlink ref="H12" r:id="rId9" display="https://drive.google.com/open?id=0B2vBTVEfSzItN0l1dkZGekVwNmM" xr:uid="{00000000-0004-0000-0500-000008000000}"/>
    <hyperlink ref="H13" r:id="rId10" display="https://drive.google.com/open?id=1d-colTudNLeYNW53-LZTFcfJ5Hj_cb1k" xr:uid="{00000000-0004-0000-0500-000009000000}"/>
    <hyperlink ref="H14" r:id="rId11" display="https://drive.google.com/open?id=0B2vBTVEfSzItQnlzZ2dwSVU3Nm8" xr:uid="{00000000-0004-0000-0500-00000A000000}"/>
    <hyperlink ref="H15" r:id="rId12" display="https://drive.google.com/open?id=1zhu8FHz5kc6dijTB33dmeY5tfh77gOUh" xr:uid="{00000000-0004-0000-0500-00000B000000}"/>
    <hyperlink ref="H16" r:id="rId13" display="https://drive.google.com/open?id=0B2rLR4BADrBtcnlUNnJwd2Rua3c" xr:uid="{00000000-0004-0000-0500-00000C000000}"/>
    <hyperlink ref="H17" r:id="rId14" display="https://drive.google.com/open?id=1c9ROm4HUcAc15S4MXmpkFN2sBo4k3rwu" xr:uid="{00000000-0004-0000-0500-00000D000000}"/>
    <hyperlink ref="H18" r:id="rId15" display="https://drive.google.com/open?id=0B2rLR4BADrBtSTVSam9qQ1QwNlE" xr:uid="{00000000-0004-0000-0500-00000E000000}"/>
    <hyperlink ref="H19" r:id="rId16" display="https://drive.google.com/open?id=0B2rLR4BADrBtR1JUbUVIbHBQdE0" xr:uid="{00000000-0004-0000-0500-00000F000000}"/>
    <hyperlink ref="H22" r:id="rId17" display="https://drive.google.com/open?id=0B2rLR4BADrBtT3gwb3hYWjY3Qzg" xr:uid="{00000000-0004-0000-0500-000010000000}"/>
    <hyperlink ref="H23" r:id="rId18" display="https://drive.google.com/open?id=0B2rLR4BADrBtTFd4NHpveWVRejQ" xr:uid="{00000000-0004-0000-0500-000011000000}"/>
    <hyperlink ref="H25" r:id="rId19" display="https://drive.google.com/open?id=0B2rLR4BADrBtT3gwb3hYWjY3Qzg" xr:uid="{00000000-0004-0000-0500-000012000000}"/>
    <hyperlink ref="H26" r:id="rId20" display="https://drive.google.com/open?id=0B2rLR4BADrBtTFd4NHpveWVRejQ" xr:uid="{00000000-0004-0000-0500-000013000000}"/>
    <hyperlink ref="H40" r:id="rId21" display="https://drive.google.com/open?id=1ufQfoDiiaYCbrJzN3VHB6iPNKKG93CRr" xr:uid="{00000000-0004-0000-0500-000014000000}"/>
    <hyperlink ref="H42" r:id="rId22" display="https://drive.google.com/file/d/15ESC8cXjsJkafs8RLoJOKzvMwZmu0bUy/view?usp=sharing" xr:uid="{00000000-0004-0000-0500-000015000000}"/>
    <hyperlink ref="H43" r:id="rId23" display="https://drive.google.com/file/d/1pKHBgNrqeSlTXQiJ89vNQxpyFoKbN5WZ/view?usp=sharing" xr:uid="{00000000-0004-0000-0500-000016000000}"/>
    <hyperlink ref="H44" r:id="rId24" display="https://drive.google.com/open?id=0B2vBTVEfSzItRjBoaWdNb3JlbW8" xr:uid="{00000000-0004-0000-0500-000017000000}"/>
    <hyperlink ref="H46" r:id="rId25" display="https://drive.google.com/open?id=0B2rLR4BADrBtQWpSdUx2a0oxczg" xr:uid="{00000000-0004-0000-0500-000018000000}"/>
    <hyperlink ref="H48" r:id="rId26" display="https://drive.google.com/open?id=0B2vBTVEfSzItS21fd2RzWFAxZE0" xr:uid="{00000000-0004-0000-0500-000019000000}"/>
    <hyperlink ref="H49" r:id="rId27" display="https://drive.google.com/open?id=0B2rLR4BADrBtNTFZWkdGaWZYWG8" xr:uid="{00000000-0004-0000-0500-00001A000000}"/>
    <hyperlink ref="H50" r:id="rId28" display="https://drive.google.com/open?id=0B2vBTVEfSzItME90d1dqTjBGZGs" xr:uid="{00000000-0004-0000-0500-00001B000000}"/>
    <hyperlink ref="H51" r:id="rId29" display="https://drive.google.com/open?id=1r_CIVuHpalaal0RW_5rYR3_kL0HSK31y" xr:uid="{00000000-0004-0000-0500-00001C000000}"/>
    <hyperlink ref="H52" r:id="rId30" display="https://drive.google.com/open?id=1zXwF20wl-SN960KREf7OXsDJIuaLLZft" xr:uid="{00000000-0004-0000-0500-00001D000000}"/>
    <hyperlink ref="H41" r:id="rId31" display="https://drive.google.com/open?id=0B2vBTVEfSzItWWFhdUNacTUtMnM" xr:uid="{00000000-0004-0000-0500-00001E000000}"/>
    <hyperlink ref="H20" r:id="rId32" display="https://drive.google.com/open?id=0B2rLR4BADrBtR1JUbUVIbHBQdE0" xr:uid="{00000000-0004-0000-0500-00001F000000}"/>
    <hyperlink ref="H7" r:id="rId33" display="https://drive.google.com/open?id=1KQe81ndxnboVCQ2wDiN-5qHbLV8orSNV" xr:uid="{00000000-0004-0000-0500-000020000000}"/>
  </hyperlinks>
  <pageMargins left="0.5" right="0.25" top="0.75" bottom="0.75" header="0.3" footer="0.3"/>
  <pageSetup paperSize="9" scale="68" fitToHeight="0" orientation="portrait" verticalDpi="360" r:id="rId3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7" operator="beginsWith" text="พัสดุ" id="{F594D1B9-510C-4221-A578-A9D5E80E181D}">
            <xm:f>LEFT(('ปรับปรุง ปี 63-1'!F65),LEN("พัสดุ"))=("พัสดุ")</xm:f>
            <x14:dxf>
              <font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C183 C66:C67</xm:sqref>
        </x14:conditionalFormatting>
        <x14:conditionalFormatting xmlns:xm="http://schemas.microsoft.com/office/excel/2006/main">
          <x14:cfRule type="beginsWith" priority="227" operator="beginsWith" text="พัสดุ" id="{F594D1B9-510C-4221-A578-A9D5E80E181D}">
            <xm:f>LEFT(('ปรับปรุง ปี 63-1'!F58),LEN("พัสดุ"))=("พัสดุ")</xm:f>
            <x14:dxf>
              <font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C58 C63:C64</xm:sqref>
        </x14:conditionalFormatting>
        <x14:conditionalFormatting xmlns:xm="http://schemas.microsoft.com/office/excel/2006/main">
          <x14:cfRule type="beginsWith" priority="229" operator="beginsWith" text="พัสดุ" id="{F594D1B9-510C-4221-A578-A9D5E80E181D}">
            <xm:f>LEFT(('ปรับปรุง ปี 63-1'!F79),LEN("พัสดุ"))=("พัสดุ")</xm:f>
            <x14:dxf>
              <font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C81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447"/>
  <sheetViews>
    <sheetView tabSelected="1" topLeftCell="A406" zoomScale="115" zoomScaleNormal="115" workbookViewId="0">
      <selection activeCell="E415" sqref="E415"/>
    </sheetView>
  </sheetViews>
  <sheetFormatPr defaultColWidth="14.42578125" defaultRowHeight="18"/>
  <cols>
    <col min="1" max="1" width="12.85546875" style="435" customWidth="1"/>
    <col min="2" max="2" width="11.140625" style="435" customWidth="1"/>
    <col min="3" max="3" width="14.28515625" style="435" customWidth="1"/>
    <col min="4" max="4" width="4.140625" style="435" customWidth="1"/>
    <col min="5" max="5" width="60.42578125" style="435" customWidth="1"/>
    <col min="6" max="6" width="8.85546875" style="449" customWidth="1"/>
    <col min="7" max="7" width="15.28515625" style="449" customWidth="1"/>
    <col min="8" max="8" width="15.42578125" style="449" customWidth="1"/>
    <col min="9" max="16384" width="14.42578125" style="435"/>
  </cols>
  <sheetData>
    <row r="1" spans="1:8" ht="38.25" thickBot="1">
      <c r="A1" s="537" t="s">
        <v>10</v>
      </c>
      <c r="B1" s="537" t="s">
        <v>2</v>
      </c>
      <c r="C1" s="537" t="s">
        <v>3</v>
      </c>
      <c r="D1" s="537" t="s">
        <v>4</v>
      </c>
      <c r="E1" s="537" t="s">
        <v>2754</v>
      </c>
      <c r="F1" s="538" t="s">
        <v>3600</v>
      </c>
      <c r="G1" s="538" t="s">
        <v>7</v>
      </c>
      <c r="H1" s="538" t="s">
        <v>8</v>
      </c>
    </row>
    <row r="2" spans="1:8" ht="19.5" thickBot="1">
      <c r="A2" s="539" t="s">
        <v>4167</v>
      </c>
      <c r="B2" s="540"/>
      <c r="C2" s="540"/>
      <c r="D2" s="540"/>
      <c r="E2" s="540"/>
      <c r="F2" s="540"/>
      <c r="G2" s="540"/>
      <c r="H2" s="541"/>
    </row>
    <row r="3" spans="1:8" ht="19.5" thickBot="1">
      <c r="A3" s="542">
        <v>2320</v>
      </c>
      <c r="B3" s="543" t="s">
        <v>37</v>
      </c>
      <c r="C3" s="544">
        <v>2320.0806451612902</v>
      </c>
      <c r="D3" s="543">
        <v>62</v>
      </c>
      <c r="E3" s="545" t="s">
        <v>56</v>
      </c>
      <c r="F3" s="543" t="s">
        <v>28</v>
      </c>
      <c r="G3" s="546">
        <v>3900000</v>
      </c>
      <c r="H3" s="547">
        <v>2320</v>
      </c>
    </row>
    <row r="4" spans="1:8" ht="19.5" thickBot="1">
      <c r="A4" s="548">
        <v>2320</v>
      </c>
      <c r="B4" s="549" t="s">
        <v>37</v>
      </c>
      <c r="C4" s="550">
        <v>2320.0166666666669</v>
      </c>
      <c r="D4" s="549">
        <v>60</v>
      </c>
      <c r="E4" s="551" t="s">
        <v>55</v>
      </c>
      <c r="F4" s="549" t="s">
        <v>28</v>
      </c>
      <c r="G4" s="552">
        <v>8100000</v>
      </c>
      <c r="H4" s="553">
        <v>2320</v>
      </c>
    </row>
    <row r="5" spans="1:8" ht="19.5" thickBot="1">
      <c r="A5" s="548">
        <v>2320</v>
      </c>
      <c r="B5" s="549" t="s">
        <v>37</v>
      </c>
      <c r="C5" s="550">
        <v>2320.0338983050847</v>
      </c>
      <c r="D5" s="549">
        <v>59</v>
      </c>
      <c r="E5" s="551" t="s">
        <v>60</v>
      </c>
      <c r="F5" s="549" t="s">
        <v>28</v>
      </c>
      <c r="G5" s="552">
        <v>3210000</v>
      </c>
      <c r="H5" s="553">
        <v>2320</v>
      </c>
    </row>
    <row r="6" spans="1:8" ht="19.5" thickBot="1">
      <c r="A6" s="548">
        <v>2320</v>
      </c>
      <c r="B6" s="549" t="s">
        <v>63</v>
      </c>
      <c r="C6" s="550">
        <v>2320.0483870967741</v>
      </c>
      <c r="D6" s="549">
        <v>62</v>
      </c>
      <c r="E6" s="551" t="s">
        <v>69</v>
      </c>
      <c r="F6" s="549" t="s">
        <v>28</v>
      </c>
      <c r="G6" s="552">
        <v>2100000</v>
      </c>
      <c r="H6" s="554">
        <v>2320</v>
      </c>
    </row>
    <row r="7" spans="1:8" ht="19.5" thickBot="1">
      <c r="A7" s="548">
        <v>2320</v>
      </c>
      <c r="B7" s="549" t="s">
        <v>63</v>
      </c>
      <c r="C7" s="550">
        <v>2320.0645161290322</v>
      </c>
      <c r="D7" s="549">
        <v>62</v>
      </c>
      <c r="E7" s="551" t="s">
        <v>965</v>
      </c>
      <c r="F7" s="549" t="s">
        <v>28</v>
      </c>
      <c r="G7" s="552">
        <v>12500000</v>
      </c>
      <c r="H7" s="553">
        <v>2320</v>
      </c>
    </row>
    <row r="8" spans="1:8" ht="19.5" thickBot="1">
      <c r="A8" s="548">
        <v>2320</v>
      </c>
      <c r="B8" s="549" t="s">
        <v>63</v>
      </c>
      <c r="C8" s="550">
        <v>2320.0163934426228</v>
      </c>
      <c r="D8" s="549">
        <v>61</v>
      </c>
      <c r="E8" s="551" t="s">
        <v>82</v>
      </c>
      <c r="F8" s="549" t="s">
        <v>28</v>
      </c>
      <c r="G8" s="552">
        <v>12000000</v>
      </c>
      <c r="H8" s="553">
        <v>2320</v>
      </c>
    </row>
    <row r="9" spans="1:8" ht="19.5" thickBot="1">
      <c r="A9" s="548">
        <v>2320</v>
      </c>
      <c r="B9" s="549" t="s">
        <v>63</v>
      </c>
      <c r="C9" s="555" t="s">
        <v>4279</v>
      </c>
      <c r="D9" s="549">
        <v>63</v>
      </c>
      <c r="E9" s="551" t="s">
        <v>4280</v>
      </c>
      <c r="F9" s="549" t="s">
        <v>28</v>
      </c>
      <c r="G9" s="552">
        <v>1950000</v>
      </c>
      <c r="H9" s="553">
        <v>2320</v>
      </c>
    </row>
    <row r="10" spans="1:8" ht="38.25" thickBot="1">
      <c r="A10" s="548">
        <v>2320</v>
      </c>
      <c r="B10" s="549" t="s">
        <v>63</v>
      </c>
      <c r="C10" s="550">
        <v>2320.0357142857142</v>
      </c>
      <c r="D10" s="549">
        <v>56</v>
      </c>
      <c r="E10" s="551" t="s">
        <v>90</v>
      </c>
      <c r="F10" s="549" t="s">
        <v>28</v>
      </c>
      <c r="G10" s="552">
        <v>2800000</v>
      </c>
      <c r="H10" s="553">
        <v>2320</v>
      </c>
    </row>
    <row r="11" spans="1:8" ht="38.25" thickBot="1">
      <c r="A11" s="548">
        <v>2320</v>
      </c>
      <c r="B11" s="549" t="s">
        <v>63</v>
      </c>
      <c r="C11" s="550">
        <v>2320.0535714285716</v>
      </c>
      <c r="D11" s="549">
        <v>56</v>
      </c>
      <c r="E11" s="551" t="s">
        <v>96</v>
      </c>
      <c r="F11" s="549" t="s">
        <v>28</v>
      </c>
      <c r="G11" s="552">
        <v>2900000</v>
      </c>
      <c r="H11" s="553">
        <v>2320</v>
      </c>
    </row>
    <row r="12" spans="1:8" ht="19.5" thickBot="1">
      <c r="A12" s="548">
        <v>2320</v>
      </c>
      <c r="B12" s="549" t="s">
        <v>63</v>
      </c>
      <c r="C12" s="550">
        <v>2320.0178571428573</v>
      </c>
      <c r="D12" s="549">
        <v>56</v>
      </c>
      <c r="E12" s="551" t="s">
        <v>100</v>
      </c>
      <c r="F12" s="549" t="s">
        <v>28</v>
      </c>
      <c r="G12" s="552">
        <v>6500000</v>
      </c>
      <c r="H12" s="553">
        <v>2320</v>
      </c>
    </row>
    <row r="13" spans="1:8" ht="19.5" thickBot="1">
      <c r="A13" s="548">
        <v>2320</v>
      </c>
      <c r="B13" s="549" t="s">
        <v>63</v>
      </c>
      <c r="C13" s="550">
        <v>2320.0344827586205</v>
      </c>
      <c r="D13" s="549">
        <v>58</v>
      </c>
      <c r="E13" s="551" t="s">
        <v>106</v>
      </c>
      <c r="F13" s="549" t="s">
        <v>28</v>
      </c>
      <c r="G13" s="552">
        <v>4800000</v>
      </c>
      <c r="H13" s="553">
        <v>2320</v>
      </c>
    </row>
    <row r="14" spans="1:8" ht="19.5" thickBot="1">
      <c r="A14" s="548">
        <v>2320</v>
      </c>
      <c r="B14" s="549" t="s">
        <v>63</v>
      </c>
      <c r="C14" s="550">
        <v>2320.0555555555557</v>
      </c>
      <c r="D14" s="549">
        <v>54</v>
      </c>
      <c r="E14" s="551" t="s">
        <v>110</v>
      </c>
      <c r="F14" s="549" t="s">
        <v>28</v>
      </c>
      <c r="G14" s="552">
        <v>1100000</v>
      </c>
      <c r="H14" s="553">
        <v>2320</v>
      </c>
    </row>
    <row r="15" spans="1:8" ht="19.5" thickBot="1">
      <c r="A15" s="548">
        <v>2320</v>
      </c>
      <c r="B15" s="549" t="s">
        <v>63</v>
      </c>
      <c r="C15" s="555" t="s">
        <v>115</v>
      </c>
      <c r="D15" s="549">
        <v>58</v>
      </c>
      <c r="E15" s="551" t="s">
        <v>116</v>
      </c>
      <c r="F15" s="549" t="s">
        <v>28</v>
      </c>
      <c r="G15" s="552">
        <v>1980000</v>
      </c>
      <c r="H15" s="553">
        <v>2320</v>
      </c>
    </row>
    <row r="16" spans="1:8" ht="19.5" thickBot="1">
      <c r="A16" s="548">
        <v>2320</v>
      </c>
      <c r="B16" s="549" t="s">
        <v>63</v>
      </c>
      <c r="C16" s="550">
        <v>2320.0322580645161</v>
      </c>
      <c r="D16" s="549">
        <v>62</v>
      </c>
      <c r="E16" s="551" t="s">
        <v>120</v>
      </c>
      <c r="F16" s="549" t="s">
        <v>28</v>
      </c>
      <c r="G16" s="552">
        <v>950000</v>
      </c>
      <c r="H16" s="553">
        <v>2320</v>
      </c>
    </row>
    <row r="17" spans="1:8" ht="19.5" thickBot="1">
      <c r="A17" s="548">
        <v>2320</v>
      </c>
      <c r="B17" s="549" t="s">
        <v>63</v>
      </c>
      <c r="C17" s="550">
        <v>2320.0350877192982</v>
      </c>
      <c r="D17" s="549">
        <v>57</v>
      </c>
      <c r="E17" s="551" t="s">
        <v>136</v>
      </c>
      <c r="F17" s="549" t="s">
        <v>28</v>
      </c>
      <c r="G17" s="552">
        <v>982000</v>
      </c>
      <c r="H17" s="553">
        <v>2320</v>
      </c>
    </row>
    <row r="18" spans="1:8" ht="19.5" thickBot="1">
      <c r="A18" s="548">
        <v>2320</v>
      </c>
      <c r="B18" s="549" t="s">
        <v>63</v>
      </c>
      <c r="C18" s="555" t="s">
        <v>4275</v>
      </c>
      <c r="D18" s="549">
        <v>63</v>
      </c>
      <c r="E18" s="551" t="s">
        <v>4276</v>
      </c>
      <c r="F18" s="549" t="s">
        <v>28</v>
      </c>
      <c r="G18" s="552">
        <v>1250000</v>
      </c>
      <c r="H18" s="553">
        <v>2320</v>
      </c>
    </row>
    <row r="19" spans="1:8" ht="19.5" thickBot="1">
      <c r="A19" s="548">
        <v>2320</v>
      </c>
      <c r="B19" s="549" t="s">
        <v>63</v>
      </c>
      <c r="C19" s="555" t="s">
        <v>4277</v>
      </c>
      <c r="D19" s="549">
        <v>63</v>
      </c>
      <c r="E19" s="551" t="s">
        <v>4278</v>
      </c>
      <c r="F19" s="549" t="s">
        <v>28</v>
      </c>
      <c r="G19" s="552">
        <v>1500000</v>
      </c>
      <c r="H19" s="553">
        <v>2320</v>
      </c>
    </row>
    <row r="20" spans="1:8" ht="19.5" thickBot="1">
      <c r="A20" s="548">
        <v>2320</v>
      </c>
      <c r="B20" s="549" t="s">
        <v>63</v>
      </c>
      <c r="C20" s="550">
        <v>2320.016129032258</v>
      </c>
      <c r="D20" s="549">
        <v>62</v>
      </c>
      <c r="E20" s="551" t="s">
        <v>145</v>
      </c>
      <c r="F20" s="549" t="s">
        <v>28</v>
      </c>
      <c r="G20" s="552">
        <v>950000</v>
      </c>
      <c r="H20" s="553">
        <v>2320</v>
      </c>
    </row>
    <row r="21" spans="1:8" ht="19.5" thickBot="1">
      <c r="A21" s="548">
        <v>2320</v>
      </c>
      <c r="B21" s="549" t="s">
        <v>63</v>
      </c>
      <c r="C21" s="549" t="s">
        <v>153</v>
      </c>
      <c r="D21" s="549">
        <v>56</v>
      </c>
      <c r="E21" s="551" t="s">
        <v>154</v>
      </c>
      <c r="F21" s="549" t="s">
        <v>28</v>
      </c>
      <c r="G21" s="552">
        <v>70000000</v>
      </c>
      <c r="H21" s="553">
        <v>2320</v>
      </c>
    </row>
    <row r="22" spans="1:8" ht="19.5" thickBot="1">
      <c r="A22" s="548">
        <v>2320</v>
      </c>
      <c r="B22" s="549" t="s">
        <v>63</v>
      </c>
      <c r="C22" s="549" t="s">
        <v>162</v>
      </c>
      <c r="D22" s="549">
        <v>56</v>
      </c>
      <c r="E22" s="551" t="s">
        <v>163</v>
      </c>
      <c r="F22" s="549" t="s">
        <v>28</v>
      </c>
      <c r="G22" s="552">
        <v>45000000</v>
      </c>
      <c r="H22" s="554">
        <v>2320</v>
      </c>
    </row>
    <row r="23" spans="1:8" ht="19.5" thickBot="1">
      <c r="A23" s="556">
        <v>2320</v>
      </c>
      <c r="B23" s="557" t="s">
        <v>63</v>
      </c>
      <c r="C23" s="558">
        <v>2320.0967741935483</v>
      </c>
      <c r="D23" s="557">
        <v>62</v>
      </c>
      <c r="E23" s="559" t="s">
        <v>2364</v>
      </c>
      <c r="F23" s="557" t="s">
        <v>28</v>
      </c>
      <c r="G23" s="560">
        <v>7000000</v>
      </c>
      <c r="H23" s="553">
        <v>2320</v>
      </c>
    </row>
    <row r="24" spans="1:8" ht="19.5" thickBot="1">
      <c r="A24" s="539" t="s">
        <v>4168</v>
      </c>
      <c r="B24" s="540"/>
      <c r="C24" s="540"/>
      <c r="D24" s="540"/>
      <c r="E24" s="540"/>
      <c r="F24" s="540"/>
      <c r="G24" s="540"/>
      <c r="H24" s="541"/>
    </row>
    <row r="25" spans="1:8" ht="19.5" thickBot="1">
      <c r="A25" s="542">
        <v>2420</v>
      </c>
      <c r="B25" s="543" t="s">
        <v>63</v>
      </c>
      <c r="C25" s="544">
        <v>2420.0178571428573</v>
      </c>
      <c r="D25" s="543">
        <v>56</v>
      </c>
      <c r="E25" s="545" t="s">
        <v>173</v>
      </c>
      <c r="F25" s="543" t="s">
        <v>28</v>
      </c>
      <c r="G25" s="546">
        <v>740000</v>
      </c>
      <c r="H25" s="547">
        <v>2420</v>
      </c>
    </row>
    <row r="26" spans="1:8" ht="38.25" thickBot="1">
      <c r="A26" s="556">
        <v>2420</v>
      </c>
      <c r="B26" s="557" t="s">
        <v>63</v>
      </c>
      <c r="C26" s="558">
        <v>2420.0172413793102</v>
      </c>
      <c r="D26" s="557">
        <v>58</v>
      </c>
      <c r="E26" s="559" t="s">
        <v>4245</v>
      </c>
      <c r="F26" s="557" t="s">
        <v>28</v>
      </c>
      <c r="G26" s="561">
        <v>1400000</v>
      </c>
      <c r="H26" s="562">
        <v>2420</v>
      </c>
    </row>
    <row r="27" spans="1:8" ht="19.5" thickBot="1">
      <c r="A27" s="539" t="s">
        <v>4120</v>
      </c>
      <c r="B27" s="540"/>
      <c r="C27" s="540"/>
      <c r="D27" s="540"/>
      <c r="E27" s="540"/>
      <c r="F27" s="540"/>
      <c r="G27" s="540"/>
      <c r="H27" s="541"/>
    </row>
    <row r="28" spans="1:8" ht="19.5" thickBot="1">
      <c r="A28" s="563">
        <v>3220</v>
      </c>
      <c r="B28" s="564" t="s">
        <v>191</v>
      </c>
      <c r="C28" s="565">
        <v>3220.0175438596493</v>
      </c>
      <c r="D28" s="564">
        <v>57</v>
      </c>
      <c r="E28" s="566" t="s">
        <v>193</v>
      </c>
      <c r="F28" s="564" t="s">
        <v>78</v>
      </c>
      <c r="G28" s="567">
        <v>75000</v>
      </c>
      <c r="H28" s="568">
        <v>3220</v>
      </c>
    </row>
    <row r="29" spans="1:8" ht="19.5" thickBot="1">
      <c r="A29" s="569">
        <v>3230</v>
      </c>
      <c r="B29" s="570" t="s">
        <v>191</v>
      </c>
      <c r="C29" s="571">
        <v>3230.0175438596493</v>
      </c>
      <c r="D29" s="570">
        <v>57</v>
      </c>
      <c r="E29" s="572" t="s">
        <v>209</v>
      </c>
      <c r="F29" s="570" t="s">
        <v>78</v>
      </c>
      <c r="G29" s="573">
        <v>35000</v>
      </c>
      <c r="H29" s="574">
        <v>3230</v>
      </c>
    </row>
    <row r="30" spans="1:8" ht="19.5" thickBot="1">
      <c r="A30" s="563">
        <v>3220</v>
      </c>
      <c r="B30" s="564" t="s">
        <v>191</v>
      </c>
      <c r="C30" s="575" t="s">
        <v>4269</v>
      </c>
      <c r="D30" s="564">
        <v>58</v>
      </c>
      <c r="E30" s="566" t="s">
        <v>203</v>
      </c>
      <c r="F30" s="564" t="s">
        <v>78</v>
      </c>
      <c r="G30" s="567">
        <v>14500</v>
      </c>
      <c r="H30" s="568">
        <v>3220</v>
      </c>
    </row>
    <row r="31" spans="1:8" s="440" customFormat="1" ht="19.5" thickBot="1">
      <c r="A31" s="539" t="s">
        <v>4121</v>
      </c>
      <c r="B31" s="540"/>
      <c r="C31" s="540"/>
      <c r="D31" s="540"/>
      <c r="E31" s="540"/>
      <c r="F31" s="540"/>
      <c r="G31" s="540"/>
      <c r="H31" s="541"/>
    </row>
    <row r="32" spans="1:8" ht="19.5" thickBot="1">
      <c r="A32" s="576">
        <v>3405</v>
      </c>
      <c r="B32" s="576" t="s">
        <v>191</v>
      </c>
      <c r="C32" s="577" t="s">
        <v>220</v>
      </c>
      <c r="D32" s="576">
        <v>52</v>
      </c>
      <c r="E32" s="578" t="s">
        <v>221</v>
      </c>
      <c r="F32" s="579" t="s">
        <v>78</v>
      </c>
      <c r="G32" s="580">
        <v>8600</v>
      </c>
      <c r="H32" s="581" t="s">
        <v>2369</v>
      </c>
    </row>
    <row r="33" spans="1:8" ht="19.5" thickBot="1">
      <c r="A33" s="576">
        <v>3413</v>
      </c>
      <c r="B33" s="576" t="s">
        <v>191</v>
      </c>
      <c r="C33" s="577" t="s">
        <v>226</v>
      </c>
      <c r="D33" s="576">
        <v>52</v>
      </c>
      <c r="E33" s="578" t="s">
        <v>227</v>
      </c>
      <c r="F33" s="579" t="s">
        <v>78</v>
      </c>
      <c r="G33" s="580">
        <v>15000</v>
      </c>
      <c r="H33" s="581" t="s">
        <v>2371</v>
      </c>
    </row>
    <row r="34" spans="1:8" ht="19.5" thickBot="1">
      <c r="A34" s="576">
        <v>3416</v>
      </c>
      <c r="B34" s="576" t="s">
        <v>157</v>
      </c>
      <c r="C34" s="577" t="s">
        <v>232</v>
      </c>
      <c r="D34" s="576">
        <v>59</v>
      </c>
      <c r="E34" s="578" t="s">
        <v>233</v>
      </c>
      <c r="F34" s="579" t="s">
        <v>78</v>
      </c>
      <c r="G34" s="580">
        <v>550000</v>
      </c>
      <c r="H34" s="581" t="s">
        <v>2374</v>
      </c>
    </row>
    <row r="35" spans="1:8" ht="19.5" thickBot="1">
      <c r="A35" s="576">
        <v>3431</v>
      </c>
      <c r="B35" s="576" t="s">
        <v>63</v>
      </c>
      <c r="C35" s="577" t="s">
        <v>237</v>
      </c>
      <c r="D35" s="576">
        <v>53</v>
      </c>
      <c r="E35" s="578" t="s">
        <v>239</v>
      </c>
      <c r="F35" s="579" t="s">
        <v>78</v>
      </c>
      <c r="G35" s="580">
        <v>175000</v>
      </c>
      <c r="H35" s="581" t="s">
        <v>2377</v>
      </c>
    </row>
    <row r="36" spans="1:8" ht="19.5" thickBot="1">
      <c r="A36" s="576">
        <v>3431</v>
      </c>
      <c r="B36" s="576" t="s">
        <v>157</v>
      </c>
      <c r="C36" s="577" t="s">
        <v>243</v>
      </c>
      <c r="D36" s="576">
        <v>55</v>
      </c>
      <c r="E36" s="578" t="s">
        <v>244</v>
      </c>
      <c r="F36" s="579" t="s">
        <v>78</v>
      </c>
      <c r="G36" s="580">
        <v>35000</v>
      </c>
      <c r="H36" s="581" t="s">
        <v>2377</v>
      </c>
    </row>
    <row r="37" spans="1:8" ht="19.5" thickBot="1">
      <c r="A37" s="576">
        <v>3431</v>
      </c>
      <c r="B37" s="576" t="s">
        <v>157</v>
      </c>
      <c r="C37" s="577" t="s">
        <v>248</v>
      </c>
      <c r="D37" s="576">
        <v>54</v>
      </c>
      <c r="E37" s="578" t="s">
        <v>250</v>
      </c>
      <c r="F37" s="579" t="s">
        <v>78</v>
      </c>
      <c r="G37" s="580">
        <v>14000</v>
      </c>
      <c r="H37" s="581" t="s">
        <v>2377</v>
      </c>
    </row>
    <row r="38" spans="1:8" ht="19.5" thickBot="1">
      <c r="A38" s="576">
        <v>3432</v>
      </c>
      <c r="B38" s="576" t="s">
        <v>256</v>
      </c>
      <c r="C38" s="577" t="s">
        <v>263</v>
      </c>
      <c r="D38" s="576">
        <v>56</v>
      </c>
      <c r="E38" s="578" t="s">
        <v>265</v>
      </c>
      <c r="F38" s="579" t="s">
        <v>78</v>
      </c>
      <c r="G38" s="580">
        <v>100000</v>
      </c>
      <c r="H38" s="581" t="s">
        <v>2378</v>
      </c>
    </row>
    <row r="39" spans="1:8" ht="19.5" thickBot="1">
      <c r="A39" s="576">
        <v>3432</v>
      </c>
      <c r="B39" s="576" t="s">
        <v>256</v>
      </c>
      <c r="C39" s="577" t="s">
        <v>257</v>
      </c>
      <c r="D39" s="576">
        <v>54</v>
      </c>
      <c r="E39" s="578" t="s">
        <v>258</v>
      </c>
      <c r="F39" s="579" t="s">
        <v>78</v>
      </c>
      <c r="G39" s="580">
        <v>220000</v>
      </c>
      <c r="H39" s="581" t="s">
        <v>2378</v>
      </c>
    </row>
    <row r="40" spans="1:8" ht="19.5" thickBot="1">
      <c r="A40" s="576">
        <v>3433</v>
      </c>
      <c r="B40" s="576" t="s">
        <v>157</v>
      </c>
      <c r="C40" s="577" t="s">
        <v>270</v>
      </c>
      <c r="D40" s="576">
        <v>54</v>
      </c>
      <c r="E40" s="578" t="s">
        <v>272</v>
      </c>
      <c r="F40" s="579" t="s">
        <v>78</v>
      </c>
      <c r="G40" s="580">
        <v>9500</v>
      </c>
      <c r="H40" s="581" t="s">
        <v>2379</v>
      </c>
    </row>
    <row r="41" spans="1:8" ht="19.5" thickBot="1">
      <c r="A41" s="576">
        <v>3433</v>
      </c>
      <c r="B41" s="576" t="s">
        <v>157</v>
      </c>
      <c r="C41" s="577" t="s">
        <v>278</v>
      </c>
      <c r="D41" s="576">
        <v>53</v>
      </c>
      <c r="E41" s="578" t="s">
        <v>279</v>
      </c>
      <c r="F41" s="579" t="s">
        <v>53</v>
      </c>
      <c r="G41" s="580">
        <v>26500</v>
      </c>
      <c r="H41" s="581" t="s">
        <v>2379</v>
      </c>
    </row>
    <row r="42" spans="1:8" ht="19.5" thickBot="1">
      <c r="A42" s="576">
        <v>3442</v>
      </c>
      <c r="B42" s="576" t="s">
        <v>63</v>
      </c>
      <c r="C42" s="577" t="s">
        <v>284</v>
      </c>
      <c r="D42" s="576">
        <v>58</v>
      </c>
      <c r="E42" s="578" t="s">
        <v>285</v>
      </c>
      <c r="F42" s="579" t="s">
        <v>78</v>
      </c>
      <c r="G42" s="580">
        <v>200000</v>
      </c>
      <c r="H42" s="581" t="s">
        <v>2380</v>
      </c>
    </row>
    <row r="43" spans="1:8" ht="19.5" thickBot="1">
      <c r="A43" s="539" t="s">
        <v>4122</v>
      </c>
      <c r="B43" s="540"/>
      <c r="C43" s="540"/>
      <c r="D43" s="540"/>
      <c r="E43" s="540"/>
      <c r="F43" s="540"/>
      <c r="G43" s="540"/>
      <c r="H43" s="541"/>
    </row>
    <row r="44" spans="1:8" ht="19.5" thickBot="1">
      <c r="A44" s="556">
        <v>3750</v>
      </c>
      <c r="B44" s="557" t="s">
        <v>256</v>
      </c>
      <c r="C44" s="558">
        <v>3750.0163934426228</v>
      </c>
      <c r="D44" s="557">
        <v>61</v>
      </c>
      <c r="E44" s="559" t="s">
        <v>152</v>
      </c>
      <c r="F44" s="557" t="s">
        <v>78</v>
      </c>
      <c r="G44" s="561">
        <v>9500</v>
      </c>
      <c r="H44" s="562">
        <v>3750</v>
      </c>
    </row>
    <row r="45" spans="1:8" ht="19.5" thickBot="1">
      <c r="A45" s="569">
        <v>3750</v>
      </c>
      <c r="B45" s="570" t="s">
        <v>256</v>
      </c>
      <c r="C45" s="571">
        <v>3750.0377358490564</v>
      </c>
      <c r="D45" s="570">
        <v>53</v>
      </c>
      <c r="E45" s="572" t="s">
        <v>161</v>
      </c>
      <c r="F45" s="570" t="s">
        <v>78</v>
      </c>
      <c r="G45" s="573">
        <v>13000</v>
      </c>
      <c r="H45" s="574">
        <v>3750</v>
      </c>
    </row>
    <row r="46" spans="1:8" ht="19.5" thickBot="1">
      <c r="A46" s="548">
        <v>3750</v>
      </c>
      <c r="B46" s="549" t="s">
        <v>256</v>
      </c>
      <c r="C46" s="550">
        <v>3750.016129032258</v>
      </c>
      <c r="D46" s="549">
        <v>62</v>
      </c>
      <c r="E46" s="551" t="s">
        <v>165</v>
      </c>
      <c r="F46" s="549" t="s">
        <v>78</v>
      </c>
      <c r="G46" s="582">
        <v>182000</v>
      </c>
      <c r="H46" s="553">
        <v>3750</v>
      </c>
    </row>
    <row r="47" spans="1:8" ht="19.5" thickBot="1">
      <c r="A47" s="583">
        <v>3750</v>
      </c>
      <c r="B47" s="584" t="s">
        <v>256</v>
      </c>
      <c r="C47" s="585">
        <v>3750.0322580645161</v>
      </c>
      <c r="D47" s="584">
        <v>62</v>
      </c>
      <c r="E47" s="586" t="s">
        <v>167</v>
      </c>
      <c r="F47" s="584" t="s">
        <v>78</v>
      </c>
      <c r="G47" s="587">
        <v>12000</v>
      </c>
      <c r="H47" s="588">
        <v>3750</v>
      </c>
    </row>
    <row r="48" spans="1:8" ht="19.5" thickBot="1">
      <c r="A48" s="589">
        <v>3750</v>
      </c>
      <c r="B48" s="590" t="s">
        <v>256</v>
      </c>
      <c r="C48" s="591">
        <v>3750.0172413793102</v>
      </c>
      <c r="D48" s="590">
        <v>58</v>
      </c>
      <c r="E48" s="592" t="s">
        <v>320</v>
      </c>
      <c r="F48" s="590" t="s">
        <v>78</v>
      </c>
      <c r="G48" s="593">
        <v>180000</v>
      </c>
      <c r="H48" s="594">
        <v>3750</v>
      </c>
    </row>
    <row r="49" spans="1:8" ht="38.25" thickBot="1">
      <c r="A49" s="537" t="s">
        <v>10</v>
      </c>
      <c r="B49" s="537" t="s">
        <v>2</v>
      </c>
      <c r="C49" s="537" t="s">
        <v>3</v>
      </c>
      <c r="D49" s="537" t="s">
        <v>4</v>
      </c>
      <c r="E49" s="537" t="s">
        <v>2754</v>
      </c>
      <c r="F49" s="538" t="s">
        <v>3600</v>
      </c>
      <c r="G49" s="538" t="s">
        <v>7</v>
      </c>
      <c r="H49" s="538" t="s">
        <v>8</v>
      </c>
    </row>
    <row r="50" spans="1:8" ht="19.5" thickBot="1">
      <c r="A50" s="556">
        <v>3750</v>
      </c>
      <c r="B50" s="557" t="s">
        <v>63</v>
      </c>
      <c r="C50" s="558">
        <v>3750.0181818181818</v>
      </c>
      <c r="D50" s="557">
        <v>55</v>
      </c>
      <c r="E50" s="559" t="s">
        <v>326</v>
      </c>
      <c r="F50" s="557" t="s">
        <v>53</v>
      </c>
      <c r="G50" s="561">
        <v>750000</v>
      </c>
      <c r="H50" s="562">
        <v>3750</v>
      </c>
    </row>
    <row r="51" spans="1:8" ht="19.5" thickBot="1">
      <c r="A51" s="539" t="s">
        <v>4123</v>
      </c>
      <c r="B51" s="540"/>
      <c r="C51" s="540"/>
      <c r="D51" s="540"/>
      <c r="E51" s="540"/>
      <c r="F51" s="540"/>
      <c r="G51" s="540"/>
      <c r="H51" s="541"/>
    </row>
    <row r="52" spans="1:8" ht="19.5" thickBot="1">
      <c r="A52" s="548">
        <v>3805</v>
      </c>
      <c r="B52" s="549" t="s">
        <v>63</v>
      </c>
      <c r="C52" s="550">
        <v>3805.0166666666669</v>
      </c>
      <c r="D52" s="549">
        <v>60</v>
      </c>
      <c r="E52" s="551" t="s">
        <v>4246</v>
      </c>
      <c r="F52" s="549" t="s">
        <v>28</v>
      </c>
      <c r="G52" s="552">
        <v>2500000</v>
      </c>
      <c r="H52" s="553">
        <v>3805</v>
      </c>
    </row>
    <row r="53" spans="1:8" ht="19.5" thickBot="1">
      <c r="A53" s="548">
        <v>3805</v>
      </c>
      <c r="B53" s="549" t="s">
        <v>63</v>
      </c>
      <c r="C53" s="550">
        <v>3805.031746031746</v>
      </c>
      <c r="D53" s="549">
        <v>63</v>
      </c>
      <c r="E53" s="551" t="s">
        <v>4272</v>
      </c>
      <c r="F53" s="549" t="s">
        <v>28</v>
      </c>
      <c r="G53" s="552">
        <v>5300000</v>
      </c>
      <c r="H53" s="553">
        <v>3805</v>
      </c>
    </row>
    <row r="54" spans="1:8" ht="19.5" thickBot="1">
      <c r="A54" s="548">
        <v>3805</v>
      </c>
      <c r="B54" s="549" t="s">
        <v>63</v>
      </c>
      <c r="C54" s="555" t="s">
        <v>4285</v>
      </c>
      <c r="D54" s="549">
        <v>63</v>
      </c>
      <c r="E54" s="551" t="s">
        <v>4286</v>
      </c>
      <c r="F54" s="549" t="s">
        <v>28</v>
      </c>
      <c r="G54" s="552">
        <v>5800000</v>
      </c>
      <c r="H54" s="553">
        <v>3805</v>
      </c>
    </row>
    <row r="55" spans="1:8" ht="19.5" thickBot="1">
      <c r="A55" s="548">
        <v>3805</v>
      </c>
      <c r="B55" s="549" t="s">
        <v>63</v>
      </c>
      <c r="C55" s="550">
        <v>3805.0350877192982</v>
      </c>
      <c r="D55" s="549">
        <v>57</v>
      </c>
      <c r="E55" s="551" t="s">
        <v>351</v>
      </c>
      <c r="F55" s="549" t="s">
        <v>28</v>
      </c>
      <c r="G55" s="582">
        <v>5000000</v>
      </c>
      <c r="H55" s="553">
        <v>3805</v>
      </c>
    </row>
    <row r="56" spans="1:8" ht="19.5" thickBot="1">
      <c r="A56" s="548">
        <v>3805</v>
      </c>
      <c r="B56" s="549" t="s">
        <v>63</v>
      </c>
      <c r="C56" s="550">
        <v>3805.0169491525426</v>
      </c>
      <c r="D56" s="549">
        <v>59</v>
      </c>
      <c r="E56" s="551" t="s">
        <v>360</v>
      </c>
      <c r="F56" s="549" t="s">
        <v>28</v>
      </c>
      <c r="G56" s="552">
        <v>4500000</v>
      </c>
      <c r="H56" s="553">
        <v>3805</v>
      </c>
    </row>
    <row r="57" spans="1:8" ht="19.5" thickBot="1">
      <c r="A57" s="548">
        <v>3805</v>
      </c>
      <c r="B57" s="549" t="s">
        <v>63</v>
      </c>
      <c r="C57" s="550">
        <v>3805.0322580645161</v>
      </c>
      <c r="D57" s="549">
        <v>62</v>
      </c>
      <c r="E57" s="551" t="s">
        <v>4247</v>
      </c>
      <c r="F57" s="549" t="s">
        <v>28</v>
      </c>
      <c r="G57" s="582">
        <v>3300000</v>
      </c>
      <c r="H57" s="553">
        <v>3805</v>
      </c>
    </row>
    <row r="58" spans="1:8" ht="19.5" thickBot="1">
      <c r="A58" s="548">
        <v>3805</v>
      </c>
      <c r="B58" s="549" t="s">
        <v>63</v>
      </c>
      <c r="C58" s="550">
        <v>3805.016129032258</v>
      </c>
      <c r="D58" s="549">
        <v>62</v>
      </c>
      <c r="E58" s="551" t="s">
        <v>366</v>
      </c>
      <c r="F58" s="549" t="s">
        <v>28</v>
      </c>
      <c r="G58" s="552">
        <v>3800000</v>
      </c>
      <c r="H58" s="553">
        <v>3805</v>
      </c>
    </row>
    <row r="59" spans="1:8" ht="19.5" thickBot="1">
      <c r="A59" s="576">
        <v>3820</v>
      </c>
      <c r="B59" s="576" t="s">
        <v>372</v>
      </c>
      <c r="C59" s="577" t="s">
        <v>375</v>
      </c>
      <c r="D59" s="576">
        <v>61</v>
      </c>
      <c r="E59" s="578" t="s">
        <v>376</v>
      </c>
      <c r="F59" s="579" t="s">
        <v>78</v>
      </c>
      <c r="G59" s="580">
        <v>580000</v>
      </c>
      <c r="H59" s="581" t="s">
        <v>2393</v>
      </c>
    </row>
    <row r="60" spans="1:8" ht="19.5" thickBot="1">
      <c r="A60" s="576">
        <v>3820</v>
      </c>
      <c r="B60" s="576" t="s">
        <v>372</v>
      </c>
      <c r="C60" s="577" t="s">
        <v>387</v>
      </c>
      <c r="D60" s="576">
        <v>61</v>
      </c>
      <c r="E60" s="578" t="s">
        <v>388</v>
      </c>
      <c r="F60" s="579" t="s">
        <v>78</v>
      </c>
      <c r="G60" s="580">
        <v>80000</v>
      </c>
      <c r="H60" s="581" t="s">
        <v>2393</v>
      </c>
    </row>
    <row r="61" spans="1:8" ht="19.5" thickBot="1">
      <c r="A61" s="576">
        <v>3820</v>
      </c>
      <c r="B61" s="576" t="s">
        <v>372</v>
      </c>
      <c r="C61" s="577" t="s">
        <v>392</v>
      </c>
      <c r="D61" s="576">
        <v>55</v>
      </c>
      <c r="E61" s="578" t="s">
        <v>393</v>
      </c>
      <c r="F61" s="579" t="s">
        <v>78</v>
      </c>
      <c r="G61" s="580">
        <v>300000</v>
      </c>
      <c r="H61" s="581" t="s">
        <v>2393</v>
      </c>
    </row>
    <row r="62" spans="1:8" ht="19.5" thickBot="1">
      <c r="A62" s="576">
        <v>3825</v>
      </c>
      <c r="B62" s="576" t="s">
        <v>63</v>
      </c>
      <c r="C62" s="577" t="s">
        <v>401</v>
      </c>
      <c r="D62" s="576">
        <v>53</v>
      </c>
      <c r="E62" s="578" t="s">
        <v>403</v>
      </c>
      <c r="F62" s="579" t="s">
        <v>78</v>
      </c>
      <c r="G62" s="580">
        <v>270000</v>
      </c>
      <c r="H62" s="581" t="s">
        <v>2394</v>
      </c>
    </row>
    <row r="63" spans="1:8" ht="19.5" thickBot="1">
      <c r="A63" s="576">
        <v>3825</v>
      </c>
      <c r="B63" s="576" t="s">
        <v>63</v>
      </c>
      <c r="C63" s="577" t="s">
        <v>4183</v>
      </c>
      <c r="D63" s="576">
        <v>62</v>
      </c>
      <c r="E63" s="578" t="s">
        <v>4184</v>
      </c>
      <c r="F63" s="579" t="s">
        <v>28</v>
      </c>
      <c r="G63" s="580">
        <v>1900000</v>
      </c>
      <c r="H63" s="595">
        <v>3825</v>
      </c>
    </row>
    <row r="64" spans="1:8" ht="19.5" thickBot="1">
      <c r="A64" s="576">
        <v>3825</v>
      </c>
      <c r="B64" s="576" t="s">
        <v>63</v>
      </c>
      <c r="C64" s="577" t="s">
        <v>4254</v>
      </c>
      <c r="D64" s="576">
        <v>59</v>
      </c>
      <c r="E64" s="578" t="s">
        <v>3350</v>
      </c>
      <c r="F64" s="579" t="s">
        <v>28</v>
      </c>
      <c r="G64" s="580">
        <v>10000000</v>
      </c>
      <c r="H64" s="581" t="s">
        <v>2394</v>
      </c>
    </row>
    <row r="65" spans="1:8" ht="19.5" thickBot="1">
      <c r="A65" s="576">
        <v>3825</v>
      </c>
      <c r="B65" s="576" t="s">
        <v>63</v>
      </c>
      <c r="C65" s="577" t="s">
        <v>4160</v>
      </c>
      <c r="D65" s="576">
        <v>59</v>
      </c>
      <c r="E65" s="578" t="s">
        <v>413</v>
      </c>
      <c r="F65" s="579" t="s">
        <v>28</v>
      </c>
      <c r="G65" s="580">
        <v>15500000</v>
      </c>
      <c r="H65" s="581" t="s">
        <v>2394</v>
      </c>
    </row>
    <row r="66" spans="1:8" ht="19.5" thickBot="1">
      <c r="A66" s="576">
        <v>3825</v>
      </c>
      <c r="B66" s="576" t="s">
        <v>63</v>
      </c>
      <c r="C66" s="577" t="s">
        <v>417</v>
      </c>
      <c r="D66" s="576">
        <v>56</v>
      </c>
      <c r="E66" s="578" t="s">
        <v>418</v>
      </c>
      <c r="F66" s="579" t="s">
        <v>28</v>
      </c>
      <c r="G66" s="580">
        <v>345000</v>
      </c>
      <c r="H66" s="581" t="s">
        <v>2394</v>
      </c>
    </row>
    <row r="67" spans="1:8" ht="19.5" thickBot="1">
      <c r="A67" s="576">
        <v>3825</v>
      </c>
      <c r="B67" s="576" t="s">
        <v>63</v>
      </c>
      <c r="C67" s="577" t="s">
        <v>429</v>
      </c>
      <c r="D67" s="576">
        <v>54</v>
      </c>
      <c r="E67" s="578" t="s">
        <v>430</v>
      </c>
      <c r="F67" s="579" t="s">
        <v>28</v>
      </c>
      <c r="G67" s="580">
        <v>2400000</v>
      </c>
      <c r="H67" s="581" t="s">
        <v>2394</v>
      </c>
    </row>
    <row r="68" spans="1:8" ht="19.5" thickBot="1">
      <c r="A68" s="548">
        <v>3805</v>
      </c>
      <c r="B68" s="549" t="s">
        <v>63</v>
      </c>
      <c r="C68" s="555" t="s">
        <v>4281</v>
      </c>
      <c r="D68" s="549">
        <v>57</v>
      </c>
      <c r="E68" s="551" t="s">
        <v>4274</v>
      </c>
      <c r="F68" s="549" t="s">
        <v>28</v>
      </c>
      <c r="G68" s="582">
        <v>1300000</v>
      </c>
      <c r="H68" s="553">
        <v>3805</v>
      </c>
    </row>
    <row r="69" spans="1:8" ht="19.5" thickBot="1">
      <c r="A69" s="576">
        <v>3895</v>
      </c>
      <c r="B69" s="576" t="s">
        <v>191</v>
      </c>
      <c r="C69" s="577" t="s">
        <v>434</v>
      </c>
      <c r="D69" s="576">
        <v>55</v>
      </c>
      <c r="E69" s="578" t="s">
        <v>435</v>
      </c>
      <c r="F69" s="579" t="s">
        <v>78</v>
      </c>
      <c r="G69" s="580">
        <v>300000</v>
      </c>
      <c r="H69" s="581" t="s">
        <v>2395</v>
      </c>
    </row>
    <row r="70" spans="1:8" ht="19.5" thickBot="1">
      <c r="A70" s="576">
        <v>3895</v>
      </c>
      <c r="B70" s="576" t="s">
        <v>191</v>
      </c>
      <c r="C70" s="577" t="s">
        <v>4264</v>
      </c>
      <c r="D70" s="576">
        <v>55</v>
      </c>
      <c r="E70" s="578" t="s">
        <v>494</v>
      </c>
      <c r="F70" s="579" t="s">
        <v>78</v>
      </c>
      <c r="G70" s="580">
        <v>45000</v>
      </c>
      <c r="H70" s="581" t="s">
        <v>2395</v>
      </c>
    </row>
    <row r="71" spans="1:8" ht="19.5" thickBot="1">
      <c r="A71" s="576">
        <v>3895</v>
      </c>
      <c r="B71" s="576" t="s">
        <v>63</v>
      </c>
      <c r="C71" s="577" t="s">
        <v>4266</v>
      </c>
      <c r="D71" s="576">
        <v>62</v>
      </c>
      <c r="E71" s="578" t="s">
        <v>4265</v>
      </c>
      <c r="F71" s="579" t="s">
        <v>78</v>
      </c>
      <c r="G71" s="580">
        <v>50000</v>
      </c>
      <c r="H71" s="581" t="s">
        <v>2395</v>
      </c>
    </row>
    <row r="72" spans="1:8" ht="38.25" thickBot="1">
      <c r="A72" s="576">
        <v>3895</v>
      </c>
      <c r="B72" s="576" t="s">
        <v>63</v>
      </c>
      <c r="C72" s="577" t="s">
        <v>4185</v>
      </c>
      <c r="D72" s="576">
        <v>62</v>
      </c>
      <c r="E72" s="578" t="s">
        <v>4248</v>
      </c>
      <c r="F72" s="579" t="s">
        <v>78</v>
      </c>
      <c r="G72" s="580">
        <v>14000000</v>
      </c>
      <c r="H72" s="581" t="s">
        <v>2395</v>
      </c>
    </row>
    <row r="73" spans="1:8" ht="19.5" thickBot="1">
      <c r="A73" s="576">
        <v>3895</v>
      </c>
      <c r="B73" s="576" t="s">
        <v>63</v>
      </c>
      <c r="C73" s="577" t="s">
        <v>4255</v>
      </c>
      <c r="D73" s="576">
        <v>62</v>
      </c>
      <c r="E73" s="578" t="s">
        <v>4256</v>
      </c>
      <c r="F73" s="579" t="s">
        <v>78</v>
      </c>
      <c r="G73" s="580">
        <v>8000000</v>
      </c>
      <c r="H73" s="581" t="s">
        <v>2395</v>
      </c>
    </row>
    <row r="74" spans="1:8" ht="19.5" thickBot="1">
      <c r="A74" s="576">
        <v>3895</v>
      </c>
      <c r="B74" s="576" t="s">
        <v>63</v>
      </c>
      <c r="C74" s="577" t="s">
        <v>4257</v>
      </c>
      <c r="D74" s="576">
        <v>62</v>
      </c>
      <c r="E74" s="578" t="s">
        <v>4258</v>
      </c>
      <c r="F74" s="579" t="s">
        <v>78</v>
      </c>
      <c r="G74" s="580">
        <v>14000000</v>
      </c>
      <c r="H74" s="581" t="s">
        <v>2395</v>
      </c>
    </row>
    <row r="75" spans="1:8" ht="19.5" thickBot="1">
      <c r="A75" s="576">
        <v>3895</v>
      </c>
      <c r="B75" s="576" t="s">
        <v>63</v>
      </c>
      <c r="C75" s="577" t="s">
        <v>4187</v>
      </c>
      <c r="D75" s="576">
        <v>62</v>
      </c>
      <c r="E75" s="578" t="s">
        <v>4188</v>
      </c>
      <c r="F75" s="579" t="s">
        <v>28</v>
      </c>
      <c r="G75" s="580">
        <v>3500000</v>
      </c>
      <c r="H75" s="581" t="s">
        <v>2395</v>
      </c>
    </row>
    <row r="76" spans="1:8" ht="19.5" thickBot="1">
      <c r="A76" s="596">
        <v>3895</v>
      </c>
      <c r="B76" s="597" t="s">
        <v>63</v>
      </c>
      <c r="C76" s="598" t="s">
        <v>4282</v>
      </c>
      <c r="D76" s="597">
        <v>62</v>
      </c>
      <c r="E76" s="599" t="s">
        <v>4249</v>
      </c>
      <c r="F76" s="597" t="s">
        <v>28</v>
      </c>
      <c r="G76" s="600">
        <v>3000000</v>
      </c>
      <c r="H76" s="601" t="s">
        <v>2395</v>
      </c>
    </row>
    <row r="77" spans="1:8" ht="19.5" thickBot="1">
      <c r="A77" s="596">
        <v>3895</v>
      </c>
      <c r="B77" s="597" t="s">
        <v>63</v>
      </c>
      <c r="C77" s="598" t="s">
        <v>4283</v>
      </c>
      <c r="D77" s="597">
        <v>62</v>
      </c>
      <c r="E77" s="599" t="s">
        <v>4284</v>
      </c>
      <c r="F77" s="597" t="s">
        <v>28</v>
      </c>
      <c r="G77" s="600">
        <v>3500000</v>
      </c>
      <c r="H77" s="601" t="s">
        <v>2395</v>
      </c>
    </row>
    <row r="78" spans="1:8" ht="19.5" thickBot="1">
      <c r="A78" s="602" t="s">
        <v>4124</v>
      </c>
      <c r="B78" s="603"/>
      <c r="C78" s="603"/>
      <c r="D78" s="603"/>
      <c r="E78" s="603"/>
      <c r="F78" s="603"/>
      <c r="G78" s="603"/>
      <c r="H78" s="604"/>
    </row>
    <row r="79" spans="1:8" ht="19.5" thickBot="1">
      <c r="A79" s="576">
        <v>3930</v>
      </c>
      <c r="B79" s="576" t="s">
        <v>63</v>
      </c>
      <c r="C79" s="577" t="s">
        <v>450</v>
      </c>
      <c r="D79" s="576">
        <v>58</v>
      </c>
      <c r="E79" s="578" t="s">
        <v>451</v>
      </c>
      <c r="F79" s="579" t="s">
        <v>28</v>
      </c>
      <c r="G79" s="580">
        <v>1035000</v>
      </c>
      <c r="H79" s="581" t="s">
        <v>2397</v>
      </c>
    </row>
    <row r="80" spans="1:8" ht="19.5" thickBot="1">
      <c r="A80" s="576">
        <v>3930</v>
      </c>
      <c r="B80" s="576" t="s">
        <v>63</v>
      </c>
      <c r="C80" s="577" t="s">
        <v>458</v>
      </c>
      <c r="D80" s="576">
        <v>57</v>
      </c>
      <c r="E80" s="578" t="s">
        <v>459</v>
      </c>
      <c r="F80" s="579" t="s">
        <v>28</v>
      </c>
      <c r="G80" s="580">
        <v>200000</v>
      </c>
      <c r="H80" s="581">
        <v>3930</v>
      </c>
    </row>
    <row r="81" spans="1:8" ht="19.5" thickBot="1">
      <c r="A81" s="576">
        <v>3930</v>
      </c>
      <c r="B81" s="576" t="s">
        <v>63</v>
      </c>
      <c r="C81" s="577" t="s">
        <v>471</v>
      </c>
      <c r="D81" s="576">
        <v>59</v>
      </c>
      <c r="E81" s="578" t="s">
        <v>473</v>
      </c>
      <c r="F81" s="579" t="s">
        <v>28</v>
      </c>
      <c r="G81" s="580">
        <v>760000</v>
      </c>
      <c r="H81" s="581" t="s">
        <v>2397</v>
      </c>
    </row>
    <row r="82" spans="1:8" ht="19.5" thickBot="1">
      <c r="A82" s="576">
        <v>3930</v>
      </c>
      <c r="B82" s="576" t="s">
        <v>63</v>
      </c>
      <c r="C82" s="577" t="s">
        <v>478</v>
      </c>
      <c r="D82" s="576">
        <v>57</v>
      </c>
      <c r="E82" s="578" t="s">
        <v>479</v>
      </c>
      <c r="F82" s="579" t="s">
        <v>28</v>
      </c>
      <c r="G82" s="580">
        <v>960000</v>
      </c>
      <c r="H82" s="581" t="s">
        <v>2397</v>
      </c>
    </row>
    <row r="83" spans="1:8" ht="24" customHeight="1" thickBot="1">
      <c r="A83" s="576">
        <v>3930</v>
      </c>
      <c r="B83" s="576" t="s">
        <v>63</v>
      </c>
      <c r="C83" s="577" t="s">
        <v>466</v>
      </c>
      <c r="D83" s="576">
        <v>60</v>
      </c>
      <c r="E83" s="578" t="s">
        <v>467</v>
      </c>
      <c r="F83" s="579" t="s">
        <v>28</v>
      </c>
      <c r="G83" s="580">
        <v>1800000</v>
      </c>
      <c r="H83" s="581" t="s">
        <v>2397</v>
      </c>
    </row>
    <row r="84" spans="1:8" ht="19.5" thickBot="1">
      <c r="A84" s="576">
        <v>3930</v>
      </c>
      <c r="B84" s="576" t="s">
        <v>63</v>
      </c>
      <c r="C84" s="577" t="s">
        <v>489</v>
      </c>
      <c r="D84" s="576">
        <v>58</v>
      </c>
      <c r="E84" s="578" t="s">
        <v>490</v>
      </c>
      <c r="F84" s="579" t="s">
        <v>28</v>
      </c>
      <c r="G84" s="580">
        <v>760000</v>
      </c>
      <c r="H84" s="581" t="s">
        <v>2397</v>
      </c>
    </row>
    <row r="85" spans="1:8" ht="19.5" thickBot="1">
      <c r="A85" s="576">
        <v>3930</v>
      </c>
      <c r="B85" s="576" t="s">
        <v>63</v>
      </c>
      <c r="C85" s="577" t="s">
        <v>496</v>
      </c>
      <c r="D85" s="576">
        <v>54</v>
      </c>
      <c r="E85" s="578" t="s">
        <v>498</v>
      </c>
      <c r="F85" s="579" t="s">
        <v>28</v>
      </c>
      <c r="G85" s="580">
        <v>1200000</v>
      </c>
      <c r="H85" s="581" t="s">
        <v>2397</v>
      </c>
    </row>
    <row r="86" spans="1:8" ht="24.75" customHeight="1" thickBot="1">
      <c r="A86" s="576">
        <v>3930</v>
      </c>
      <c r="B86" s="576" t="s">
        <v>157</v>
      </c>
      <c r="C86" s="577" t="s">
        <v>503</v>
      </c>
      <c r="D86" s="576">
        <v>62</v>
      </c>
      <c r="E86" s="578" t="s">
        <v>504</v>
      </c>
      <c r="F86" s="579" t="s">
        <v>28</v>
      </c>
      <c r="G86" s="580">
        <v>590000</v>
      </c>
      <c r="H86" s="581" t="s">
        <v>2397</v>
      </c>
    </row>
    <row r="87" spans="1:8" ht="19.5" thickBot="1">
      <c r="A87" s="576">
        <v>3930</v>
      </c>
      <c r="B87" s="576" t="s">
        <v>63</v>
      </c>
      <c r="C87" s="577" t="s">
        <v>511</v>
      </c>
      <c r="D87" s="576">
        <v>55</v>
      </c>
      <c r="E87" s="578" t="s">
        <v>512</v>
      </c>
      <c r="F87" s="579" t="s">
        <v>28</v>
      </c>
      <c r="G87" s="580">
        <v>1100000</v>
      </c>
      <c r="H87" s="581" t="s">
        <v>2397</v>
      </c>
    </row>
    <row r="88" spans="1:8" ht="19.5" thickBot="1">
      <c r="A88" s="576">
        <v>3930</v>
      </c>
      <c r="B88" s="576" t="s">
        <v>63</v>
      </c>
      <c r="C88" s="577" t="s">
        <v>515</v>
      </c>
      <c r="D88" s="576">
        <v>58</v>
      </c>
      <c r="E88" s="578" t="s">
        <v>516</v>
      </c>
      <c r="F88" s="579" t="s">
        <v>28</v>
      </c>
      <c r="G88" s="580">
        <v>1330000</v>
      </c>
      <c r="H88" s="581" t="s">
        <v>2397</v>
      </c>
    </row>
    <row r="89" spans="1:8" ht="19.5" thickBot="1">
      <c r="A89" s="576">
        <v>3940</v>
      </c>
      <c r="B89" s="576" t="s">
        <v>157</v>
      </c>
      <c r="C89" s="577" t="s">
        <v>4267</v>
      </c>
      <c r="D89" s="576">
        <v>62</v>
      </c>
      <c r="E89" s="578" t="s">
        <v>4268</v>
      </c>
      <c r="F89" s="579" t="s">
        <v>78</v>
      </c>
      <c r="G89" s="580">
        <v>18000</v>
      </c>
      <c r="H89" s="581" t="s">
        <v>2398</v>
      </c>
    </row>
    <row r="90" spans="1:8" ht="19.5" thickBot="1">
      <c r="A90" s="576">
        <v>3940</v>
      </c>
      <c r="B90" s="576" t="s">
        <v>157</v>
      </c>
      <c r="C90" s="577" t="s">
        <v>519</v>
      </c>
      <c r="D90" s="576">
        <v>53</v>
      </c>
      <c r="E90" s="578" t="s">
        <v>520</v>
      </c>
      <c r="F90" s="579" t="s">
        <v>48</v>
      </c>
      <c r="G90" s="580">
        <v>4500</v>
      </c>
      <c r="H90" s="581" t="s">
        <v>2398</v>
      </c>
    </row>
    <row r="91" spans="1:8" ht="19.5" thickBot="1">
      <c r="A91" s="576">
        <v>3940</v>
      </c>
      <c r="B91" s="576" t="s">
        <v>157</v>
      </c>
      <c r="C91" s="577" t="s">
        <v>525</v>
      </c>
      <c r="D91" s="576">
        <v>58</v>
      </c>
      <c r="E91" s="578" t="s">
        <v>526</v>
      </c>
      <c r="F91" s="579" t="s">
        <v>48</v>
      </c>
      <c r="G91" s="580">
        <v>13000</v>
      </c>
      <c r="H91" s="581" t="s">
        <v>2398</v>
      </c>
    </row>
    <row r="92" spans="1:8" ht="19.5" thickBot="1">
      <c r="A92" s="576">
        <v>3940</v>
      </c>
      <c r="B92" s="576" t="s">
        <v>157</v>
      </c>
      <c r="C92" s="577" t="s">
        <v>535</v>
      </c>
      <c r="D92" s="576">
        <v>55</v>
      </c>
      <c r="E92" s="578" t="s">
        <v>536</v>
      </c>
      <c r="F92" s="579" t="s">
        <v>48</v>
      </c>
      <c r="G92" s="580">
        <v>35000</v>
      </c>
      <c r="H92" s="581" t="s">
        <v>2398</v>
      </c>
    </row>
    <row r="93" spans="1:8" ht="19.5" thickBot="1">
      <c r="A93" s="576">
        <v>3940</v>
      </c>
      <c r="B93" s="576" t="s">
        <v>37</v>
      </c>
      <c r="C93" s="577" t="s">
        <v>529</v>
      </c>
      <c r="D93" s="576">
        <v>55</v>
      </c>
      <c r="E93" s="578" t="s">
        <v>531</v>
      </c>
      <c r="F93" s="579" t="s">
        <v>53</v>
      </c>
      <c r="G93" s="580">
        <v>12500</v>
      </c>
      <c r="H93" s="581" t="s">
        <v>2398</v>
      </c>
    </row>
    <row r="94" spans="1:8" ht="41.25" customHeight="1" thickBot="1">
      <c r="A94" s="576">
        <v>3950</v>
      </c>
      <c r="B94" s="576" t="s">
        <v>372</v>
      </c>
      <c r="C94" s="577" t="s">
        <v>542</v>
      </c>
      <c r="D94" s="576">
        <v>58</v>
      </c>
      <c r="E94" s="578" t="s">
        <v>543</v>
      </c>
      <c r="F94" s="579" t="s">
        <v>78</v>
      </c>
      <c r="G94" s="580">
        <v>8000000</v>
      </c>
      <c r="H94" s="581" t="s">
        <v>2399</v>
      </c>
    </row>
    <row r="95" spans="1:8" ht="22.5" customHeight="1" thickBot="1">
      <c r="A95" s="602" t="s">
        <v>4125</v>
      </c>
      <c r="B95" s="603"/>
      <c r="C95" s="603"/>
      <c r="D95" s="603"/>
      <c r="E95" s="603"/>
      <c r="F95" s="603"/>
      <c r="G95" s="603"/>
      <c r="H95" s="604"/>
    </row>
    <row r="96" spans="1:8" ht="19.5" thickBot="1">
      <c r="A96" s="576">
        <v>4120</v>
      </c>
      <c r="B96" s="576" t="s">
        <v>157</v>
      </c>
      <c r="C96" s="577" t="s">
        <v>571</v>
      </c>
      <c r="D96" s="576">
        <v>62</v>
      </c>
      <c r="E96" s="578" t="s">
        <v>573</v>
      </c>
      <c r="F96" s="579" t="s">
        <v>78</v>
      </c>
      <c r="G96" s="580">
        <v>4500000</v>
      </c>
      <c r="H96" s="581" t="s">
        <v>2403</v>
      </c>
    </row>
    <row r="97" spans="1:8" ht="19.5" thickBot="1">
      <c r="A97" s="576">
        <v>4120</v>
      </c>
      <c r="B97" s="576" t="s">
        <v>157</v>
      </c>
      <c r="C97" s="577" t="s">
        <v>558</v>
      </c>
      <c r="D97" s="576">
        <v>62</v>
      </c>
      <c r="E97" s="578" t="s">
        <v>559</v>
      </c>
      <c r="F97" s="579" t="s">
        <v>78</v>
      </c>
      <c r="G97" s="580">
        <v>6700000</v>
      </c>
      <c r="H97" s="581" t="s">
        <v>2403</v>
      </c>
    </row>
    <row r="98" spans="1:8" ht="38.25" thickBot="1">
      <c r="A98" s="537" t="s">
        <v>10</v>
      </c>
      <c r="B98" s="537" t="s">
        <v>2</v>
      </c>
      <c r="C98" s="537" t="s">
        <v>3</v>
      </c>
      <c r="D98" s="537" t="s">
        <v>4</v>
      </c>
      <c r="E98" s="537" t="s">
        <v>2754</v>
      </c>
      <c r="F98" s="538" t="s">
        <v>3600</v>
      </c>
      <c r="G98" s="538" t="s">
        <v>7</v>
      </c>
      <c r="H98" s="538" t="s">
        <v>8</v>
      </c>
    </row>
    <row r="99" spans="1:8" ht="19.5" thickBot="1">
      <c r="A99" s="576">
        <v>4120</v>
      </c>
      <c r="B99" s="576" t="s">
        <v>372</v>
      </c>
      <c r="C99" s="577" t="s">
        <v>566</v>
      </c>
      <c r="D99" s="576">
        <v>60</v>
      </c>
      <c r="E99" s="578" t="s">
        <v>567</v>
      </c>
      <c r="F99" s="579" t="s">
        <v>78</v>
      </c>
      <c r="G99" s="580">
        <v>11000000</v>
      </c>
      <c r="H99" s="581" t="s">
        <v>2403</v>
      </c>
    </row>
    <row r="100" spans="1:8" ht="38.25" thickBot="1">
      <c r="A100" s="576">
        <v>4120</v>
      </c>
      <c r="B100" s="576" t="s">
        <v>157</v>
      </c>
      <c r="C100" s="577" t="s">
        <v>577</v>
      </c>
      <c r="D100" s="576">
        <v>61</v>
      </c>
      <c r="E100" s="578" t="s">
        <v>578</v>
      </c>
      <c r="F100" s="579" t="s">
        <v>78</v>
      </c>
      <c r="G100" s="580">
        <v>2000000</v>
      </c>
      <c r="H100" s="581" t="s">
        <v>2403</v>
      </c>
    </row>
    <row r="101" spans="1:8" ht="38.25" thickBot="1">
      <c r="A101" s="576">
        <v>4120</v>
      </c>
      <c r="B101" s="576" t="s">
        <v>157</v>
      </c>
      <c r="C101" s="577" t="s">
        <v>583</v>
      </c>
      <c r="D101" s="576">
        <v>59</v>
      </c>
      <c r="E101" s="578" t="s">
        <v>584</v>
      </c>
      <c r="F101" s="579" t="s">
        <v>78</v>
      </c>
      <c r="G101" s="580">
        <v>2500000</v>
      </c>
      <c r="H101" s="581" t="s">
        <v>2403</v>
      </c>
    </row>
    <row r="102" spans="1:8" ht="19.5" thickBot="1">
      <c r="A102" s="576">
        <v>4120</v>
      </c>
      <c r="B102" s="576" t="s">
        <v>157</v>
      </c>
      <c r="C102" s="577" t="s">
        <v>606</v>
      </c>
      <c r="D102" s="576">
        <v>58</v>
      </c>
      <c r="E102" s="578" t="s">
        <v>607</v>
      </c>
      <c r="F102" s="579" t="s">
        <v>78</v>
      </c>
      <c r="G102" s="580">
        <v>105000</v>
      </c>
      <c r="H102" s="581" t="s">
        <v>2403</v>
      </c>
    </row>
    <row r="103" spans="1:8" ht="19.5" thickBot="1">
      <c r="A103" s="576">
        <v>4120</v>
      </c>
      <c r="B103" s="576" t="s">
        <v>157</v>
      </c>
      <c r="C103" s="577" t="s">
        <v>613</v>
      </c>
      <c r="D103" s="576">
        <v>58</v>
      </c>
      <c r="E103" s="578" t="s">
        <v>614</v>
      </c>
      <c r="F103" s="579" t="s">
        <v>78</v>
      </c>
      <c r="G103" s="580">
        <v>195000</v>
      </c>
      <c r="H103" s="581" t="s">
        <v>2403</v>
      </c>
    </row>
    <row r="104" spans="1:8" ht="19.5" thickBot="1">
      <c r="A104" s="576">
        <v>4120</v>
      </c>
      <c r="B104" s="576" t="s">
        <v>157</v>
      </c>
      <c r="C104" s="577" t="s">
        <v>589</v>
      </c>
      <c r="D104" s="576">
        <v>58</v>
      </c>
      <c r="E104" s="578" t="s">
        <v>591</v>
      </c>
      <c r="F104" s="579" t="s">
        <v>78</v>
      </c>
      <c r="G104" s="580">
        <v>220000</v>
      </c>
      <c r="H104" s="581" t="s">
        <v>2403</v>
      </c>
    </row>
    <row r="105" spans="1:8" ht="19.5" thickBot="1">
      <c r="A105" s="576">
        <v>4120</v>
      </c>
      <c r="B105" s="576" t="s">
        <v>157</v>
      </c>
      <c r="C105" s="577" t="s">
        <v>594</v>
      </c>
      <c r="D105" s="576">
        <v>60</v>
      </c>
      <c r="E105" s="578" t="s">
        <v>595</v>
      </c>
      <c r="F105" s="579" t="s">
        <v>78</v>
      </c>
      <c r="G105" s="580">
        <v>320000</v>
      </c>
      <c r="H105" s="581" t="s">
        <v>2403</v>
      </c>
    </row>
    <row r="106" spans="1:8" ht="19.5" thickBot="1">
      <c r="A106" s="576">
        <v>4120</v>
      </c>
      <c r="B106" s="576" t="s">
        <v>157</v>
      </c>
      <c r="C106" s="577" t="s">
        <v>600</v>
      </c>
      <c r="D106" s="576">
        <v>58</v>
      </c>
      <c r="E106" s="578" t="s">
        <v>601</v>
      </c>
      <c r="F106" s="579" t="s">
        <v>78</v>
      </c>
      <c r="G106" s="580">
        <v>520000</v>
      </c>
      <c r="H106" s="581" t="s">
        <v>2403</v>
      </c>
    </row>
    <row r="107" spans="1:8" ht="19.5" thickBot="1">
      <c r="A107" s="576">
        <v>4120</v>
      </c>
      <c r="B107" s="576" t="s">
        <v>157</v>
      </c>
      <c r="C107" s="577" t="s">
        <v>618</v>
      </c>
      <c r="D107" s="576">
        <v>59</v>
      </c>
      <c r="E107" s="578" t="s">
        <v>619</v>
      </c>
      <c r="F107" s="579" t="s">
        <v>78</v>
      </c>
      <c r="G107" s="580">
        <v>70000</v>
      </c>
      <c r="H107" s="581" t="s">
        <v>2403</v>
      </c>
    </row>
    <row r="108" spans="1:8" ht="19.5" thickBot="1">
      <c r="A108" s="576">
        <v>4120</v>
      </c>
      <c r="B108" s="576" t="s">
        <v>157</v>
      </c>
      <c r="C108" s="577" t="s">
        <v>624</v>
      </c>
      <c r="D108" s="576">
        <v>58</v>
      </c>
      <c r="E108" s="578" t="s">
        <v>625</v>
      </c>
      <c r="F108" s="579" t="s">
        <v>78</v>
      </c>
      <c r="G108" s="580">
        <v>56000</v>
      </c>
      <c r="H108" s="581" t="s">
        <v>2403</v>
      </c>
    </row>
    <row r="109" spans="1:8" ht="38.25" thickBot="1">
      <c r="A109" s="576">
        <v>4120</v>
      </c>
      <c r="B109" s="576" t="s">
        <v>157</v>
      </c>
      <c r="C109" s="577" t="s">
        <v>637</v>
      </c>
      <c r="D109" s="576">
        <v>62</v>
      </c>
      <c r="E109" s="578" t="s">
        <v>638</v>
      </c>
      <c r="F109" s="579" t="s">
        <v>78</v>
      </c>
      <c r="G109" s="580">
        <v>75000</v>
      </c>
      <c r="H109" s="581" t="s">
        <v>2403</v>
      </c>
    </row>
    <row r="110" spans="1:8" ht="19.5" thickBot="1">
      <c r="A110" s="576">
        <v>4120</v>
      </c>
      <c r="B110" s="576" t="s">
        <v>157</v>
      </c>
      <c r="C110" s="577" t="s">
        <v>641</v>
      </c>
      <c r="D110" s="576">
        <v>59</v>
      </c>
      <c r="E110" s="578" t="s">
        <v>642</v>
      </c>
      <c r="F110" s="579" t="s">
        <v>78</v>
      </c>
      <c r="G110" s="580">
        <v>53300</v>
      </c>
      <c r="H110" s="581" t="s">
        <v>2403</v>
      </c>
    </row>
    <row r="111" spans="1:8" ht="19.5" thickBot="1">
      <c r="A111" s="576">
        <v>4120</v>
      </c>
      <c r="B111" s="576" t="s">
        <v>157</v>
      </c>
      <c r="C111" s="577" t="s">
        <v>647</v>
      </c>
      <c r="D111" s="576">
        <v>58</v>
      </c>
      <c r="E111" s="578" t="s">
        <v>648</v>
      </c>
      <c r="F111" s="579" t="s">
        <v>78</v>
      </c>
      <c r="G111" s="580">
        <v>57000</v>
      </c>
      <c r="H111" s="581" t="s">
        <v>2403</v>
      </c>
    </row>
    <row r="112" spans="1:8" ht="19.5" thickBot="1">
      <c r="A112" s="576">
        <v>4120</v>
      </c>
      <c r="B112" s="576" t="s">
        <v>157</v>
      </c>
      <c r="C112" s="577" t="s">
        <v>653</v>
      </c>
      <c r="D112" s="576">
        <v>58</v>
      </c>
      <c r="E112" s="578" t="s">
        <v>654</v>
      </c>
      <c r="F112" s="579" t="s">
        <v>78</v>
      </c>
      <c r="G112" s="580">
        <v>48000</v>
      </c>
      <c r="H112" s="581" t="s">
        <v>2403</v>
      </c>
    </row>
    <row r="113" spans="1:8" ht="19.5" thickBot="1">
      <c r="A113" s="576">
        <v>4120</v>
      </c>
      <c r="B113" s="576" t="s">
        <v>157</v>
      </c>
      <c r="C113" s="577" t="s">
        <v>657</v>
      </c>
      <c r="D113" s="576">
        <v>61</v>
      </c>
      <c r="E113" s="578" t="s">
        <v>658</v>
      </c>
      <c r="F113" s="579" t="s">
        <v>78</v>
      </c>
      <c r="G113" s="580">
        <v>58000</v>
      </c>
      <c r="H113" s="581" t="s">
        <v>2403</v>
      </c>
    </row>
    <row r="114" spans="1:8" ht="19.5" thickBot="1">
      <c r="A114" s="576">
        <v>4120</v>
      </c>
      <c r="B114" s="576" t="s">
        <v>157</v>
      </c>
      <c r="C114" s="577" t="s">
        <v>663</v>
      </c>
      <c r="D114" s="576">
        <v>62</v>
      </c>
      <c r="E114" s="578" t="s">
        <v>664</v>
      </c>
      <c r="F114" s="579" t="s">
        <v>78</v>
      </c>
      <c r="G114" s="580">
        <v>61000</v>
      </c>
      <c r="H114" s="581" t="s">
        <v>2403</v>
      </c>
    </row>
    <row r="115" spans="1:8" ht="19.5" thickBot="1">
      <c r="A115" s="576">
        <v>4120</v>
      </c>
      <c r="B115" s="576" t="s">
        <v>157</v>
      </c>
      <c r="C115" s="577" t="s">
        <v>630</v>
      </c>
      <c r="D115" s="576">
        <v>58</v>
      </c>
      <c r="E115" s="578" t="s">
        <v>665</v>
      </c>
      <c r="F115" s="579" t="s">
        <v>78</v>
      </c>
      <c r="G115" s="580">
        <v>70000</v>
      </c>
      <c r="H115" s="581" t="s">
        <v>2403</v>
      </c>
    </row>
    <row r="116" spans="1:8" ht="19.5" thickBot="1">
      <c r="A116" s="576">
        <v>4120</v>
      </c>
      <c r="B116" s="576" t="s">
        <v>157</v>
      </c>
      <c r="C116" s="577" t="s">
        <v>668</v>
      </c>
      <c r="D116" s="576">
        <v>58</v>
      </c>
      <c r="E116" s="578" t="s">
        <v>669</v>
      </c>
      <c r="F116" s="579" t="s">
        <v>78</v>
      </c>
      <c r="G116" s="580">
        <v>210000</v>
      </c>
      <c r="H116" s="581" t="s">
        <v>2403</v>
      </c>
    </row>
    <row r="117" spans="1:8" ht="24" customHeight="1" thickBot="1">
      <c r="A117" s="576">
        <v>4120</v>
      </c>
      <c r="B117" s="576" t="s">
        <v>157</v>
      </c>
      <c r="C117" s="577" t="s">
        <v>666</v>
      </c>
      <c r="D117" s="576">
        <v>62</v>
      </c>
      <c r="E117" s="605" t="s">
        <v>667</v>
      </c>
      <c r="F117" s="579" t="s">
        <v>78</v>
      </c>
      <c r="G117" s="580">
        <v>81300</v>
      </c>
      <c r="H117" s="581" t="s">
        <v>2403</v>
      </c>
    </row>
    <row r="118" spans="1:8" ht="19.5" thickBot="1">
      <c r="A118" s="576">
        <v>4120</v>
      </c>
      <c r="B118" s="576" t="s">
        <v>157</v>
      </c>
      <c r="C118" s="577" t="s">
        <v>670</v>
      </c>
      <c r="D118" s="576">
        <v>58</v>
      </c>
      <c r="E118" s="578" t="s">
        <v>671</v>
      </c>
      <c r="F118" s="579" t="s">
        <v>78</v>
      </c>
      <c r="G118" s="580">
        <v>295000</v>
      </c>
      <c r="H118" s="581" t="s">
        <v>2403</v>
      </c>
    </row>
    <row r="119" spans="1:8" ht="19.5" thickBot="1">
      <c r="A119" s="576">
        <v>4120</v>
      </c>
      <c r="B119" s="576" t="s">
        <v>157</v>
      </c>
      <c r="C119" s="577" t="s">
        <v>672</v>
      </c>
      <c r="D119" s="576">
        <v>58</v>
      </c>
      <c r="E119" s="578" t="s">
        <v>673</v>
      </c>
      <c r="F119" s="579" t="s">
        <v>78</v>
      </c>
      <c r="G119" s="580">
        <v>385000</v>
      </c>
      <c r="H119" s="581" t="s">
        <v>2403</v>
      </c>
    </row>
    <row r="120" spans="1:8" ht="19.5" thickBot="1">
      <c r="A120" s="576">
        <v>4120</v>
      </c>
      <c r="B120" s="576" t="s">
        <v>157</v>
      </c>
      <c r="C120" s="577" t="s">
        <v>674</v>
      </c>
      <c r="D120" s="576">
        <v>59</v>
      </c>
      <c r="E120" s="578" t="s">
        <v>675</v>
      </c>
      <c r="F120" s="579" t="s">
        <v>78</v>
      </c>
      <c r="G120" s="580">
        <v>750000</v>
      </c>
      <c r="H120" s="581" t="s">
        <v>2403</v>
      </c>
    </row>
    <row r="121" spans="1:8" s="440" customFormat="1" ht="19.5" thickBot="1">
      <c r="A121" s="576">
        <v>4140</v>
      </c>
      <c r="B121" s="576" t="s">
        <v>157</v>
      </c>
      <c r="C121" s="577" t="s">
        <v>676</v>
      </c>
      <c r="D121" s="576">
        <v>52</v>
      </c>
      <c r="E121" s="578" t="s">
        <v>677</v>
      </c>
      <c r="F121" s="579" t="s">
        <v>78</v>
      </c>
      <c r="G121" s="580">
        <v>12000</v>
      </c>
      <c r="H121" s="581" t="s">
        <v>2404</v>
      </c>
    </row>
    <row r="122" spans="1:8" ht="19.5" thickBot="1">
      <c r="A122" s="576">
        <v>4140</v>
      </c>
      <c r="B122" s="576" t="s">
        <v>372</v>
      </c>
      <c r="C122" s="577" t="s">
        <v>678</v>
      </c>
      <c r="D122" s="576">
        <v>56</v>
      </c>
      <c r="E122" s="578" t="s">
        <v>679</v>
      </c>
      <c r="F122" s="579" t="s">
        <v>48</v>
      </c>
      <c r="G122" s="580">
        <v>35000</v>
      </c>
      <c r="H122" s="581" t="s">
        <v>2404</v>
      </c>
    </row>
    <row r="123" spans="1:8" ht="38.25" thickBot="1">
      <c r="A123" s="576">
        <v>4140</v>
      </c>
      <c r="B123" s="576" t="s">
        <v>157</v>
      </c>
      <c r="C123" s="577" t="s">
        <v>681</v>
      </c>
      <c r="D123" s="576">
        <v>58</v>
      </c>
      <c r="E123" s="578" t="s">
        <v>682</v>
      </c>
      <c r="F123" s="579" t="s">
        <v>78</v>
      </c>
      <c r="G123" s="580">
        <v>19500</v>
      </c>
      <c r="H123" s="581" t="s">
        <v>2404</v>
      </c>
    </row>
    <row r="124" spans="1:8" ht="19.5" thickBot="1">
      <c r="A124" s="602" t="s">
        <v>4126</v>
      </c>
      <c r="B124" s="603"/>
      <c r="C124" s="603"/>
      <c r="D124" s="603"/>
      <c r="E124" s="603"/>
      <c r="F124" s="603"/>
      <c r="G124" s="603"/>
      <c r="H124" s="604"/>
    </row>
    <row r="125" spans="1:8" ht="19.5" thickBot="1">
      <c r="A125" s="576">
        <v>4210</v>
      </c>
      <c r="B125" s="576" t="s">
        <v>683</v>
      </c>
      <c r="C125" s="577" t="s">
        <v>684</v>
      </c>
      <c r="D125" s="576">
        <v>62</v>
      </c>
      <c r="E125" s="578" t="s">
        <v>685</v>
      </c>
      <c r="F125" s="579" t="s">
        <v>78</v>
      </c>
      <c r="G125" s="580">
        <v>12000</v>
      </c>
      <c r="H125" s="581" t="s">
        <v>2405</v>
      </c>
    </row>
    <row r="126" spans="1:8" ht="19.5" thickBot="1">
      <c r="A126" s="576">
        <v>4210</v>
      </c>
      <c r="B126" s="576" t="s">
        <v>683</v>
      </c>
      <c r="C126" s="577" t="s">
        <v>686</v>
      </c>
      <c r="D126" s="576">
        <v>62</v>
      </c>
      <c r="E126" s="578" t="s">
        <v>687</v>
      </c>
      <c r="F126" s="579" t="s">
        <v>78</v>
      </c>
      <c r="G126" s="580">
        <v>15000</v>
      </c>
      <c r="H126" s="581" t="s">
        <v>2405</v>
      </c>
    </row>
    <row r="127" spans="1:8" ht="19.5" thickBot="1">
      <c r="A127" s="576">
        <v>4210</v>
      </c>
      <c r="B127" s="576" t="s">
        <v>683</v>
      </c>
      <c r="C127" s="577" t="s">
        <v>688</v>
      </c>
      <c r="D127" s="576">
        <v>60</v>
      </c>
      <c r="E127" s="578" t="s">
        <v>689</v>
      </c>
      <c r="F127" s="579" t="s">
        <v>28</v>
      </c>
      <c r="G127" s="580">
        <v>6900000</v>
      </c>
      <c r="H127" s="581" t="s">
        <v>2405</v>
      </c>
    </row>
    <row r="128" spans="1:8" ht="38.25" thickBot="1">
      <c r="A128" s="537" t="s">
        <v>10</v>
      </c>
      <c r="B128" s="537" t="s">
        <v>2</v>
      </c>
      <c r="C128" s="537" t="s">
        <v>3</v>
      </c>
      <c r="D128" s="537" t="s">
        <v>4</v>
      </c>
      <c r="E128" s="537" t="s">
        <v>2754</v>
      </c>
      <c r="F128" s="538" t="s">
        <v>3600</v>
      </c>
      <c r="G128" s="538" t="s">
        <v>7</v>
      </c>
      <c r="H128" s="538" t="s">
        <v>8</v>
      </c>
    </row>
    <row r="129" spans="1:8" ht="19.5" thickBot="1">
      <c r="A129" s="576">
        <v>4210</v>
      </c>
      <c r="B129" s="576" t="s">
        <v>683</v>
      </c>
      <c r="C129" s="577" t="s">
        <v>4171</v>
      </c>
      <c r="D129" s="576">
        <v>62</v>
      </c>
      <c r="E129" s="578" t="s">
        <v>4172</v>
      </c>
      <c r="F129" s="579" t="s">
        <v>28</v>
      </c>
      <c r="G129" s="580">
        <v>1200000</v>
      </c>
      <c r="H129" s="581" t="s">
        <v>2405</v>
      </c>
    </row>
    <row r="130" spans="1:8" ht="19.5" thickBot="1">
      <c r="A130" s="576">
        <v>4210</v>
      </c>
      <c r="B130" s="576" t="s">
        <v>683</v>
      </c>
      <c r="C130" s="577" t="s">
        <v>692</v>
      </c>
      <c r="D130" s="576">
        <v>60</v>
      </c>
      <c r="E130" s="578" t="s">
        <v>693</v>
      </c>
      <c r="F130" s="579" t="s">
        <v>28</v>
      </c>
      <c r="G130" s="580">
        <v>2500000</v>
      </c>
      <c r="H130" s="581" t="s">
        <v>2405</v>
      </c>
    </row>
    <row r="131" spans="1:8" ht="19.5" thickBot="1">
      <c r="A131" s="576">
        <v>4210</v>
      </c>
      <c r="B131" s="576" t="s">
        <v>37</v>
      </c>
      <c r="C131" s="577" t="s">
        <v>702</v>
      </c>
      <c r="D131" s="576">
        <v>58</v>
      </c>
      <c r="E131" s="578" t="s">
        <v>703</v>
      </c>
      <c r="F131" s="579" t="s">
        <v>704</v>
      </c>
      <c r="G131" s="580">
        <v>1490000</v>
      </c>
      <c r="H131" s="581">
        <v>4210</v>
      </c>
    </row>
    <row r="132" spans="1:8" ht="19.5" thickBot="1">
      <c r="A132" s="576">
        <v>4210</v>
      </c>
      <c r="B132" s="576" t="s">
        <v>683</v>
      </c>
      <c r="C132" s="577" t="s">
        <v>694</v>
      </c>
      <c r="D132" s="576">
        <v>59</v>
      </c>
      <c r="E132" s="578" t="s">
        <v>695</v>
      </c>
      <c r="F132" s="579" t="s">
        <v>28</v>
      </c>
      <c r="G132" s="580">
        <v>32000000</v>
      </c>
      <c r="H132" s="581" t="s">
        <v>2405</v>
      </c>
    </row>
    <row r="133" spans="1:8" ht="19.5" thickBot="1">
      <c r="A133" s="576">
        <v>4210</v>
      </c>
      <c r="B133" s="576" t="s">
        <v>683</v>
      </c>
      <c r="C133" s="577" t="s">
        <v>4161</v>
      </c>
      <c r="D133" s="576">
        <v>59</v>
      </c>
      <c r="E133" s="578" t="s">
        <v>697</v>
      </c>
      <c r="F133" s="579" t="s">
        <v>28</v>
      </c>
      <c r="G133" s="580">
        <v>12000000</v>
      </c>
      <c r="H133" s="581" t="s">
        <v>2405</v>
      </c>
    </row>
    <row r="134" spans="1:8" ht="19.5" thickBot="1">
      <c r="A134" s="576">
        <v>4210</v>
      </c>
      <c r="B134" s="576" t="s">
        <v>683</v>
      </c>
      <c r="C134" s="577" t="s">
        <v>698</v>
      </c>
      <c r="D134" s="576">
        <v>62</v>
      </c>
      <c r="E134" s="578" t="s">
        <v>699</v>
      </c>
      <c r="F134" s="579" t="s">
        <v>28</v>
      </c>
      <c r="G134" s="580">
        <v>3500000</v>
      </c>
      <c r="H134" s="581" t="s">
        <v>2405</v>
      </c>
    </row>
    <row r="135" spans="1:8" ht="38.25" thickBot="1">
      <c r="A135" s="576">
        <v>4210</v>
      </c>
      <c r="B135" s="576" t="s">
        <v>683</v>
      </c>
      <c r="C135" s="577" t="s">
        <v>705</v>
      </c>
      <c r="D135" s="576">
        <v>62</v>
      </c>
      <c r="E135" s="578" t="s">
        <v>706</v>
      </c>
      <c r="F135" s="579" t="s">
        <v>707</v>
      </c>
      <c r="G135" s="580">
        <v>14700</v>
      </c>
      <c r="H135" s="581" t="s">
        <v>2405</v>
      </c>
    </row>
    <row r="136" spans="1:8" ht="38.25" thickBot="1">
      <c r="A136" s="576">
        <v>4210</v>
      </c>
      <c r="B136" s="576" t="s">
        <v>683</v>
      </c>
      <c r="C136" s="577" t="s">
        <v>708</v>
      </c>
      <c r="D136" s="576">
        <v>62</v>
      </c>
      <c r="E136" s="578" t="s">
        <v>709</v>
      </c>
      <c r="F136" s="579" t="s">
        <v>707</v>
      </c>
      <c r="G136" s="580">
        <v>16200</v>
      </c>
      <c r="H136" s="581" t="s">
        <v>2405</v>
      </c>
    </row>
    <row r="137" spans="1:8" ht="19.5" thickBot="1">
      <c r="A137" s="576">
        <v>4210</v>
      </c>
      <c r="B137" s="576" t="s">
        <v>683</v>
      </c>
      <c r="C137" s="577" t="s">
        <v>710</v>
      </c>
      <c r="D137" s="576">
        <v>54</v>
      </c>
      <c r="E137" s="578" t="s">
        <v>711</v>
      </c>
      <c r="F137" s="579" t="s">
        <v>712</v>
      </c>
      <c r="G137" s="580">
        <v>33000</v>
      </c>
      <c r="H137" s="581" t="s">
        <v>2405</v>
      </c>
    </row>
    <row r="138" spans="1:8" ht="19.5" thickBot="1">
      <c r="A138" s="576">
        <v>4210</v>
      </c>
      <c r="B138" s="576" t="s">
        <v>683</v>
      </c>
      <c r="C138" s="577" t="s">
        <v>714</v>
      </c>
      <c r="D138" s="576">
        <v>54</v>
      </c>
      <c r="E138" s="578" t="s">
        <v>715</v>
      </c>
      <c r="F138" s="579" t="s">
        <v>712</v>
      </c>
      <c r="G138" s="580">
        <v>39600</v>
      </c>
      <c r="H138" s="581" t="s">
        <v>2405</v>
      </c>
    </row>
    <row r="139" spans="1:8" ht="19.5" thickBot="1">
      <c r="A139" s="576">
        <v>4210</v>
      </c>
      <c r="B139" s="576" t="s">
        <v>256</v>
      </c>
      <c r="C139" s="577" t="s">
        <v>717</v>
      </c>
      <c r="D139" s="576">
        <v>57</v>
      </c>
      <c r="E139" s="578" t="s">
        <v>718</v>
      </c>
      <c r="F139" s="579" t="s">
        <v>78</v>
      </c>
      <c r="G139" s="580">
        <v>40000</v>
      </c>
      <c r="H139" s="579"/>
    </row>
    <row r="140" spans="1:8" ht="26.25" customHeight="1" thickBot="1">
      <c r="A140" s="602" t="s">
        <v>4127</v>
      </c>
      <c r="B140" s="603"/>
      <c r="C140" s="603"/>
      <c r="D140" s="603"/>
      <c r="E140" s="603"/>
      <c r="F140" s="603"/>
      <c r="G140" s="603"/>
      <c r="H140" s="604"/>
    </row>
    <row r="141" spans="1:8" ht="22.5" customHeight="1" thickBot="1">
      <c r="A141" s="576">
        <v>4310</v>
      </c>
      <c r="B141" s="576" t="s">
        <v>157</v>
      </c>
      <c r="C141" s="577" t="s">
        <v>722</v>
      </c>
      <c r="D141" s="576">
        <v>53</v>
      </c>
      <c r="E141" s="578" t="s">
        <v>724</v>
      </c>
      <c r="F141" s="579" t="s">
        <v>78</v>
      </c>
      <c r="G141" s="580">
        <v>9500</v>
      </c>
      <c r="H141" s="581" t="s">
        <v>2407</v>
      </c>
    </row>
    <row r="142" spans="1:8" ht="19.5" thickBot="1">
      <c r="A142" s="576">
        <v>4310</v>
      </c>
      <c r="B142" s="576" t="s">
        <v>157</v>
      </c>
      <c r="C142" s="577" t="s">
        <v>749</v>
      </c>
      <c r="D142" s="576">
        <v>54</v>
      </c>
      <c r="E142" s="578" t="s">
        <v>751</v>
      </c>
      <c r="F142" s="579" t="s">
        <v>78</v>
      </c>
      <c r="G142" s="580">
        <v>28000</v>
      </c>
      <c r="H142" s="581" t="s">
        <v>2407</v>
      </c>
    </row>
    <row r="143" spans="1:8" ht="19.5" thickBot="1">
      <c r="A143" s="576">
        <v>4310</v>
      </c>
      <c r="B143" s="576" t="s">
        <v>157</v>
      </c>
      <c r="C143" s="577" t="s">
        <v>763</v>
      </c>
      <c r="D143" s="576">
        <v>55</v>
      </c>
      <c r="E143" s="578" t="s">
        <v>764</v>
      </c>
      <c r="F143" s="579" t="s">
        <v>78</v>
      </c>
      <c r="G143" s="580">
        <v>29500</v>
      </c>
      <c r="H143" s="581" t="s">
        <v>2407</v>
      </c>
    </row>
    <row r="144" spans="1:8" ht="19.5" thickBot="1">
      <c r="A144" s="576">
        <v>4310</v>
      </c>
      <c r="B144" s="576" t="s">
        <v>157</v>
      </c>
      <c r="C144" s="577" t="s">
        <v>775</v>
      </c>
      <c r="D144" s="576">
        <v>53</v>
      </c>
      <c r="E144" s="578" t="s">
        <v>776</v>
      </c>
      <c r="F144" s="579" t="s">
        <v>78</v>
      </c>
      <c r="G144" s="580">
        <v>165000</v>
      </c>
      <c r="H144" s="581" t="s">
        <v>2407</v>
      </c>
    </row>
    <row r="145" spans="1:8" ht="19.5" thickBot="1">
      <c r="A145" s="576">
        <v>4310</v>
      </c>
      <c r="B145" s="576" t="s">
        <v>683</v>
      </c>
      <c r="C145" s="577" t="s">
        <v>738</v>
      </c>
      <c r="D145" s="576">
        <v>62</v>
      </c>
      <c r="E145" s="578" t="s">
        <v>739</v>
      </c>
      <c r="F145" s="579" t="s">
        <v>78</v>
      </c>
      <c r="G145" s="580">
        <v>450000</v>
      </c>
      <c r="H145" s="581">
        <v>4310</v>
      </c>
    </row>
    <row r="146" spans="1:8" ht="38.25" thickBot="1">
      <c r="A146" s="576">
        <v>4320</v>
      </c>
      <c r="B146" s="576" t="s">
        <v>256</v>
      </c>
      <c r="C146" s="577" t="s">
        <v>837</v>
      </c>
      <c r="D146" s="576">
        <v>54</v>
      </c>
      <c r="E146" s="578" t="s">
        <v>838</v>
      </c>
      <c r="F146" s="579" t="s">
        <v>78</v>
      </c>
      <c r="G146" s="580">
        <v>950000</v>
      </c>
      <c r="H146" s="581" t="s">
        <v>2409</v>
      </c>
    </row>
    <row r="147" spans="1:8" ht="19.5" thickBot="1">
      <c r="A147" s="576">
        <v>4320</v>
      </c>
      <c r="B147" s="576" t="s">
        <v>256</v>
      </c>
      <c r="C147" s="577" t="s">
        <v>850</v>
      </c>
      <c r="D147" s="576">
        <v>54</v>
      </c>
      <c r="E147" s="578" t="s">
        <v>851</v>
      </c>
      <c r="F147" s="579" t="s">
        <v>78</v>
      </c>
      <c r="G147" s="580">
        <v>406800</v>
      </c>
      <c r="H147" s="581" t="s">
        <v>2409</v>
      </c>
    </row>
    <row r="148" spans="1:8" ht="19.5" thickBot="1">
      <c r="A148" s="576">
        <v>4320</v>
      </c>
      <c r="B148" s="576" t="s">
        <v>256</v>
      </c>
      <c r="C148" s="577" t="s">
        <v>791</v>
      </c>
      <c r="D148" s="576">
        <v>53</v>
      </c>
      <c r="E148" s="578" t="s">
        <v>792</v>
      </c>
      <c r="F148" s="579" t="s">
        <v>78</v>
      </c>
      <c r="G148" s="580">
        <v>63400</v>
      </c>
      <c r="H148" s="581" t="s">
        <v>2409</v>
      </c>
    </row>
    <row r="149" spans="1:8" ht="19.5" thickBot="1">
      <c r="A149" s="576">
        <v>4320</v>
      </c>
      <c r="B149" s="576" t="s">
        <v>256</v>
      </c>
      <c r="C149" s="577" t="s">
        <v>4169</v>
      </c>
      <c r="D149" s="576">
        <v>62</v>
      </c>
      <c r="E149" s="578" t="s">
        <v>4170</v>
      </c>
      <c r="F149" s="579" t="s">
        <v>78</v>
      </c>
      <c r="G149" s="580">
        <v>9100</v>
      </c>
      <c r="H149" s="581" t="s">
        <v>2409</v>
      </c>
    </row>
    <row r="150" spans="1:8" ht="19.5" thickBot="1">
      <c r="A150" s="576">
        <v>4320</v>
      </c>
      <c r="B150" s="576" t="s">
        <v>256</v>
      </c>
      <c r="C150" s="577" t="s">
        <v>799</v>
      </c>
      <c r="D150" s="576">
        <v>55</v>
      </c>
      <c r="E150" s="578" t="s">
        <v>800</v>
      </c>
      <c r="F150" s="579" t="s">
        <v>78</v>
      </c>
      <c r="G150" s="580">
        <v>950000</v>
      </c>
      <c r="H150" s="579"/>
    </row>
    <row r="151" spans="1:8" ht="19.5" thickBot="1">
      <c r="A151" s="576">
        <v>4320</v>
      </c>
      <c r="B151" s="576" t="s">
        <v>256</v>
      </c>
      <c r="C151" s="577" t="s">
        <v>863</v>
      </c>
      <c r="D151" s="576">
        <v>53</v>
      </c>
      <c r="E151" s="578" t="s">
        <v>864</v>
      </c>
      <c r="F151" s="579" t="s">
        <v>78</v>
      </c>
      <c r="G151" s="580">
        <v>95000</v>
      </c>
      <c r="H151" s="581" t="s">
        <v>2409</v>
      </c>
    </row>
    <row r="152" spans="1:8" ht="19.5" thickBot="1">
      <c r="A152" s="576">
        <v>4320</v>
      </c>
      <c r="B152" s="576" t="s">
        <v>256</v>
      </c>
      <c r="C152" s="577" t="s">
        <v>865</v>
      </c>
      <c r="D152" s="576">
        <v>53</v>
      </c>
      <c r="E152" s="578" t="s">
        <v>866</v>
      </c>
      <c r="F152" s="579" t="s">
        <v>78</v>
      </c>
      <c r="G152" s="580">
        <v>140000</v>
      </c>
      <c r="H152" s="581" t="s">
        <v>2409</v>
      </c>
    </row>
    <row r="153" spans="1:8" ht="19.5" thickBot="1">
      <c r="A153" s="576">
        <v>4320</v>
      </c>
      <c r="B153" s="576" t="s">
        <v>256</v>
      </c>
      <c r="C153" s="577" t="s">
        <v>869</v>
      </c>
      <c r="D153" s="576">
        <v>53</v>
      </c>
      <c r="E153" s="578" t="s">
        <v>870</v>
      </c>
      <c r="F153" s="579" t="s">
        <v>78</v>
      </c>
      <c r="G153" s="580">
        <v>140000</v>
      </c>
      <c r="H153" s="581" t="s">
        <v>2409</v>
      </c>
    </row>
    <row r="154" spans="1:8" ht="19.5" thickBot="1">
      <c r="A154" s="576">
        <v>4320</v>
      </c>
      <c r="B154" s="576" t="s">
        <v>256</v>
      </c>
      <c r="C154" s="577" t="s">
        <v>861</v>
      </c>
      <c r="D154" s="576">
        <v>53</v>
      </c>
      <c r="E154" s="578" t="s">
        <v>862</v>
      </c>
      <c r="F154" s="579" t="s">
        <v>78</v>
      </c>
      <c r="G154" s="580">
        <v>150000</v>
      </c>
      <c r="H154" s="581" t="s">
        <v>2409</v>
      </c>
    </row>
    <row r="155" spans="1:8" ht="38.25" thickBot="1">
      <c r="A155" s="576">
        <v>4320</v>
      </c>
      <c r="B155" s="576" t="s">
        <v>256</v>
      </c>
      <c r="C155" s="577" t="s">
        <v>873</v>
      </c>
      <c r="D155" s="576">
        <v>57</v>
      </c>
      <c r="E155" s="578" t="s">
        <v>874</v>
      </c>
      <c r="F155" s="579" t="s">
        <v>78</v>
      </c>
      <c r="G155" s="580">
        <v>15000</v>
      </c>
      <c r="H155" s="581" t="s">
        <v>2409</v>
      </c>
    </row>
    <row r="156" spans="1:8" ht="19.5" thickBot="1">
      <c r="A156" s="576">
        <v>4320</v>
      </c>
      <c r="B156" s="576" t="s">
        <v>256</v>
      </c>
      <c r="C156" s="577" t="s">
        <v>871</v>
      </c>
      <c r="D156" s="576">
        <v>54</v>
      </c>
      <c r="E156" s="578" t="s">
        <v>872</v>
      </c>
      <c r="F156" s="579" t="s">
        <v>78</v>
      </c>
      <c r="G156" s="580">
        <v>30000</v>
      </c>
      <c r="H156" s="581" t="s">
        <v>2409</v>
      </c>
    </row>
    <row r="157" spans="1:8" ht="45.75" customHeight="1" thickBot="1">
      <c r="A157" s="576">
        <v>4320</v>
      </c>
      <c r="B157" s="576" t="s">
        <v>256</v>
      </c>
      <c r="C157" s="577" t="s">
        <v>875</v>
      </c>
      <c r="D157" s="576">
        <v>57</v>
      </c>
      <c r="E157" s="578" t="s">
        <v>876</v>
      </c>
      <c r="F157" s="579" t="s">
        <v>78</v>
      </c>
      <c r="G157" s="580">
        <v>1400000</v>
      </c>
      <c r="H157" s="581" t="s">
        <v>2409</v>
      </c>
    </row>
    <row r="158" spans="1:8" ht="19.5" thickBot="1">
      <c r="A158" s="576">
        <v>4320</v>
      </c>
      <c r="B158" s="576" t="s">
        <v>256</v>
      </c>
      <c r="C158" s="577" t="s">
        <v>877</v>
      </c>
      <c r="D158" s="576">
        <v>57</v>
      </c>
      <c r="E158" s="578" t="s">
        <v>878</v>
      </c>
      <c r="F158" s="579" t="s">
        <v>78</v>
      </c>
      <c r="G158" s="580">
        <v>1900000</v>
      </c>
      <c r="H158" s="581" t="s">
        <v>2409</v>
      </c>
    </row>
    <row r="159" spans="1:8" ht="38.25" thickBot="1">
      <c r="A159" s="576">
        <v>4320</v>
      </c>
      <c r="B159" s="576" t="s">
        <v>256</v>
      </c>
      <c r="C159" s="577" t="s">
        <v>880</v>
      </c>
      <c r="D159" s="576">
        <v>54</v>
      </c>
      <c r="E159" s="578" t="s">
        <v>881</v>
      </c>
      <c r="F159" s="579" t="s">
        <v>78</v>
      </c>
      <c r="G159" s="580">
        <v>91500</v>
      </c>
      <c r="H159" s="581" t="s">
        <v>2409</v>
      </c>
    </row>
    <row r="160" spans="1:8" ht="38.25" thickBot="1">
      <c r="A160" s="576">
        <v>4320</v>
      </c>
      <c r="B160" s="576" t="s">
        <v>256</v>
      </c>
      <c r="C160" s="577" t="s">
        <v>882</v>
      </c>
      <c r="D160" s="576">
        <v>57</v>
      </c>
      <c r="E160" s="578" t="s">
        <v>883</v>
      </c>
      <c r="F160" s="579" t="s">
        <v>78</v>
      </c>
      <c r="G160" s="580">
        <v>400000</v>
      </c>
      <c r="H160" s="581" t="s">
        <v>2409</v>
      </c>
    </row>
    <row r="161" spans="1:8" ht="19.5" thickBot="1">
      <c r="A161" s="576">
        <v>4320</v>
      </c>
      <c r="B161" s="576" t="s">
        <v>256</v>
      </c>
      <c r="C161" s="577" t="s">
        <v>884</v>
      </c>
      <c r="D161" s="576">
        <v>59</v>
      </c>
      <c r="E161" s="578" t="s">
        <v>4114</v>
      </c>
      <c r="F161" s="579" t="s">
        <v>78</v>
      </c>
      <c r="G161" s="580">
        <v>40000</v>
      </c>
      <c r="H161" s="581" t="s">
        <v>2409</v>
      </c>
    </row>
    <row r="162" spans="1:8" ht="38.25" thickBot="1">
      <c r="A162" s="576">
        <v>4320</v>
      </c>
      <c r="B162" s="576" t="s">
        <v>256</v>
      </c>
      <c r="C162" s="577" t="s">
        <v>890</v>
      </c>
      <c r="D162" s="576">
        <v>57</v>
      </c>
      <c r="E162" s="578" t="s">
        <v>891</v>
      </c>
      <c r="F162" s="579" t="s">
        <v>78</v>
      </c>
      <c r="G162" s="580">
        <v>130000</v>
      </c>
      <c r="H162" s="581" t="s">
        <v>2409</v>
      </c>
    </row>
    <row r="163" spans="1:8" ht="38.25" thickBot="1">
      <c r="A163" s="576">
        <v>4320</v>
      </c>
      <c r="B163" s="576" t="s">
        <v>256</v>
      </c>
      <c r="C163" s="577" t="s">
        <v>887</v>
      </c>
      <c r="D163" s="576">
        <v>57</v>
      </c>
      <c r="E163" s="578" t="s">
        <v>4253</v>
      </c>
      <c r="F163" s="579" t="s">
        <v>78</v>
      </c>
      <c r="G163" s="580">
        <v>450000</v>
      </c>
      <c r="H163" s="581" t="s">
        <v>2409</v>
      </c>
    </row>
    <row r="164" spans="1:8" s="440" customFormat="1" ht="19.5" thickBot="1">
      <c r="A164" s="576">
        <v>4320</v>
      </c>
      <c r="B164" s="576" t="s">
        <v>256</v>
      </c>
      <c r="C164" s="577" t="s">
        <v>900</v>
      </c>
      <c r="D164" s="576">
        <v>57</v>
      </c>
      <c r="E164" s="578" t="s">
        <v>901</v>
      </c>
      <c r="F164" s="579" t="s">
        <v>78</v>
      </c>
      <c r="G164" s="580">
        <v>45000</v>
      </c>
      <c r="H164" s="581" t="s">
        <v>2409</v>
      </c>
    </row>
    <row r="165" spans="1:8" ht="42.75" customHeight="1" thickBot="1">
      <c r="A165" s="537" t="s">
        <v>10</v>
      </c>
      <c r="B165" s="537" t="s">
        <v>2</v>
      </c>
      <c r="C165" s="537" t="s">
        <v>3</v>
      </c>
      <c r="D165" s="537" t="s">
        <v>4</v>
      </c>
      <c r="E165" s="537" t="s">
        <v>2754</v>
      </c>
      <c r="F165" s="538" t="s">
        <v>3600</v>
      </c>
      <c r="G165" s="538" t="s">
        <v>7</v>
      </c>
      <c r="H165" s="538" t="s">
        <v>8</v>
      </c>
    </row>
    <row r="166" spans="1:8" ht="27" customHeight="1" thickBot="1">
      <c r="A166" s="576">
        <v>4320</v>
      </c>
      <c r="B166" s="576" t="s">
        <v>256</v>
      </c>
      <c r="C166" s="577" t="s">
        <v>892</v>
      </c>
      <c r="D166" s="576">
        <v>56</v>
      </c>
      <c r="E166" s="578" t="s">
        <v>893</v>
      </c>
      <c r="F166" s="579" t="s">
        <v>78</v>
      </c>
      <c r="G166" s="580">
        <v>90000</v>
      </c>
      <c r="H166" s="581" t="s">
        <v>2409</v>
      </c>
    </row>
    <row r="167" spans="1:8" ht="24.75" customHeight="1" thickBot="1">
      <c r="A167" s="576">
        <v>4320</v>
      </c>
      <c r="B167" s="576" t="s">
        <v>256</v>
      </c>
      <c r="C167" s="577" t="s">
        <v>896</v>
      </c>
      <c r="D167" s="576">
        <v>53</v>
      </c>
      <c r="E167" s="578" t="s">
        <v>897</v>
      </c>
      <c r="F167" s="579" t="s">
        <v>78</v>
      </c>
      <c r="G167" s="580">
        <v>110000</v>
      </c>
      <c r="H167" s="581" t="s">
        <v>2409</v>
      </c>
    </row>
    <row r="168" spans="1:8" ht="27.75" customHeight="1" thickBot="1">
      <c r="A168" s="576">
        <v>4320</v>
      </c>
      <c r="B168" s="576" t="s">
        <v>256</v>
      </c>
      <c r="C168" s="577" t="s">
        <v>898</v>
      </c>
      <c r="D168" s="576">
        <v>56</v>
      </c>
      <c r="E168" s="578" t="s">
        <v>899</v>
      </c>
      <c r="F168" s="579" t="s">
        <v>78</v>
      </c>
      <c r="G168" s="580">
        <v>175000</v>
      </c>
      <c r="H168" s="581" t="s">
        <v>2409</v>
      </c>
    </row>
    <row r="169" spans="1:8" ht="19.5" thickBot="1">
      <c r="A169" s="576">
        <v>4320</v>
      </c>
      <c r="B169" s="576" t="s">
        <v>256</v>
      </c>
      <c r="C169" s="577" t="s">
        <v>902</v>
      </c>
      <c r="D169" s="576">
        <v>57</v>
      </c>
      <c r="E169" s="578" t="s">
        <v>903</v>
      </c>
      <c r="F169" s="579" t="s">
        <v>78</v>
      </c>
      <c r="G169" s="580">
        <v>265000</v>
      </c>
      <c r="H169" s="581" t="s">
        <v>2409</v>
      </c>
    </row>
    <row r="170" spans="1:8" ht="19.5" thickBot="1">
      <c r="A170" s="576">
        <v>4320</v>
      </c>
      <c r="B170" s="576" t="s">
        <v>256</v>
      </c>
      <c r="C170" s="577" t="s">
        <v>904</v>
      </c>
      <c r="D170" s="576">
        <v>57</v>
      </c>
      <c r="E170" s="578" t="s">
        <v>905</v>
      </c>
      <c r="F170" s="579" t="s">
        <v>78</v>
      </c>
      <c r="G170" s="580">
        <v>11000</v>
      </c>
      <c r="H170" s="581" t="s">
        <v>2409</v>
      </c>
    </row>
    <row r="171" spans="1:8" ht="19.5" thickBot="1">
      <c r="A171" s="576">
        <v>4320</v>
      </c>
      <c r="B171" s="576" t="s">
        <v>256</v>
      </c>
      <c r="C171" s="577" t="s">
        <v>894</v>
      </c>
      <c r="D171" s="576">
        <v>57</v>
      </c>
      <c r="E171" s="578" t="s">
        <v>895</v>
      </c>
      <c r="F171" s="579" t="s">
        <v>78</v>
      </c>
      <c r="G171" s="580">
        <v>18200</v>
      </c>
      <c r="H171" s="581" t="s">
        <v>2409</v>
      </c>
    </row>
    <row r="172" spans="1:8" ht="19.5" thickBot="1">
      <c r="A172" s="576">
        <v>4320</v>
      </c>
      <c r="B172" s="576" t="s">
        <v>256</v>
      </c>
      <c r="C172" s="577" t="s">
        <v>907</v>
      </c>
      <c r="D172" s="576">
        <v>54</v>
      </c>
      <c r="E172" s="578" t="s">
        <v>908</v>
      </c>
      <c r="F172" s="579" t="s">
        <v>78</v>
      </c>
      <c r="G172" s="580">
        <v>60000</v>
      </c>
      <c r="H172" s="581" t="s">
        <v>2409</v>
      </c>
    </row>
    <row r="173" spans="1:8" ht="19.5" thickBot="1">
      <c r="A173" s="576">
        <v>4320</v>
      </c>
      <c r="B173" s="576" t="s">
        <v>256</v>
      </c>
      <c r="C173" s="577" t="s">
        <v>909</v>
      </c>
      <c r="D173" s="576">
        <v>54</v>
      </c>
      <c r="E173" s="578" t="s">
        <v>910</v>
      </c>
      <c r="F173" s="579" t="s">
        <v>78</v>
      </c>
      <c r="G173" s="580">
        <v>9700</v>
      </c>
      <c r="H173" s="581" t="s">
        <v>2409</v>
      </c>
    </row>
    <row r="174" spans="1:8" ht="19.5" thickBot="1">
      <c r="A174" s="576">
        <v>4320</v>
      </c>
      <c r="B174" s="576" t="s">
        <v>256</v>
      </c>
      <c r="C174" s="577" t="s">
        <v>911</v>
      </c>
      <c r="D174" s="576">
        <v>54</v>
      </c>
      <c r="E174" s="578" t="s">
        <v>912</v>
      </c>
      <c r="F174" s="579" t="s">
        <v>78</v>
      </c>
      <c r="G174" s="580">
        <v>14000</v>
      </c>
      <c r="H174" s="581" t="s">
        <v>2409</v>
      </c>
    </row>
    <row r="175" spans="1:8" ht="19.5" thickBot="1">
      <c r="A175" s="576">
        <v>4320</v>
      </c>
      <c r="B175" s="576" t="s">
        <v>256</v>
      </c>
      <c r="C175" s="577" t="s">
        <v>913</v>
      </c>
      <c r="D175" s="576">
        <v>54</v>
      </c>
      <c r="E175" s="578" t="s">
        <v>914</v>
      </c>
      <c r="F175" s="579" t="s">
        <v>78</v>
      </c>
      <c r="G175" s="580">
        <v>21000</v>
      </c>
      <c r="H175" s="581" t="s">
        <v>2409</v>
      </c>
    </row>
    <row r="176" spans="1:8" s="440" customFormat="1" ht="19.5" thickBot="1">
      <c r="A176" s="576">
        <v>4320</v>
      </c>
      <c r="B176" s="576" t="s">
        <v>256</v>
      </c>
      <c r="C176" s="577" t="s">
        <v>921</v>
      </c>
      <c r="D176" s="576">
        <v>56</v>
      </c>
      <c r="E176" s="605" t="s">
        <v>922</v>
      </c>
      <c r="F176" s="579" t="s">
        <v>78</v>
      </c>
      <c r="G176" s="580">
        <v>75000</v>
      </c>
      <c r="H176" s="581" t="s">
        <v>2409</v>
      </c>
    </row>
    <row r="177" spans="1:8" ht="19.5" thickBot="1">
      <c r="A177" s="576">
        <v>4320</v>
      </c>
      <c r="B177" s="576" t="s">
        <v>256</v>
      </c>
      <c r="C177" s="577" t="s">
        <v>917</v>
      </c>
      <c r="D177" s="576">
        <v>56</v>
      </c>
      <c r="E177" s="605" t="s">
        <v>918</v>
      </c>
      <c r="F177" s="579" t="s">
        <v>78</v>
      </c>
      <c r="G177" s="580">
        <v>260000</v>
      </c>
      <c r="H177" s="581" t="s">
        <v>2409</v>
      </c>
    </row>
    <row r="178" spans="1:8" ht="19.5" thickBot="1">
      <c r="A178" s="602" t="s">
        <v>4128</v>
      </c>
      <c r="B178" s="603"/>
      <c r="C178" s="603"/>
      <c r="D178" s="603"/>
      <c r="E178" s="603"/>
      <c r="F178" s="603"/>
      <c r="G178" s="603"/>
      <c r="H178" s="604"/>
    </row>
    <row r="179" spans="1:8" s="440" customFormat="1" ht="19.5" thickBot="1">
      <c r="A179" s="576">
        <v>4440</v>
      </c>
      <c r="B179" s="576" t="s">
        <v>372</v>
      </c>
      <c r="C179" s="577" t="s">
        <v>933</v>
      </c>
      <c r="D179" s="576">
        <v>55</v>
      </c>
      <c r="E179" s="578" t="s">
        <v>934</v>
      </c>
      <c r="F179" s="579" t="s">
        <v>78</v>
      </c>
      <c r="G179" s="580">
        <v>255000</v>
      </c>
      <c r="H179" s="581" t="s">
        <v>2411</v>
      </c>
    </row>
    <row r="180" spans="1:8" ht="19.5" thickBot="1">
      <c r="A180" s="576">
        <v>4440</v>
      </c>
      <c r="B180" s="576" t="s">
        <v>372</v>
      </c>
      <c r="C180" s="577" t="s">
        <v>927</v>
      </c>
      <c r="D180" s="576">
        <v>55</v>
      </c>
      <c r="E180" s="578" t="s">
        <v>928</v>
      </c>
      <c r="F180" s="579" t="s">
        <v>78</v>
      </c>
      <c r="G180" s="580">
        <v>455000</v>
      </c>
      <c r="H180" s="581" t="s">
        <v>2411</v>
      </c>
    </row>
    <row r="181" spans="1:8" ht="19.5" thickBot="1">
      <c r="A181" s="576">
        <v>4440</v>
      </c>
      <c r="B181" s="576" t="s">
        <v>372</v>
      </c>
      <c r="C181" s="577" t="s">
        <v>929</v>
      </c>
      <c r="D181" s="576">
        <v>55</v>
      </c>
      <c r="E181" s="578" t="s">
        <v>930</v>
      </c>
      <c r="F181" s="579" t="s">
        <v>78</v>
      </c>
      <c r="G181" s="580">
        <v>650000</v>
      </c>
      <c r="H181" s="581" t="s">
        <v>2411</v>
      </c>
    </row>
    <row r="182" spans="1:8" ht="19.5" thickBot="1">
      <c r="A182" s="576">
        <v>4440</v>
      </c>
      <c r="B182" s="576" t="s">
        <v>372</v>
      </c>
      <c r="C182" s="577" t="s">
        <v>931</v>
      </c>
      <c r="D182" s="576">
        <v>55</v>
      </c>
      <c r="E182" s="578" t="s">
        <v>932</v>
      </c>
      <c r="F182" s="579" t="s">
        <v>78</v>
      </c>
      <c r="G182" s="580">
        <v>850000</v>
      </c>
      <c r="H182" s="581" t="s">
        <v>2411</v>
      </c>
    </row>
    <row r="183" spans="1:8" ht="19.5" thickBot="1">
      <c r="A183" s="576">
        <v>4460</v>
      </c>
      <c r="B183" s="576" t="s">
        <v>157</v>
      </c>
      <c r="C183" s="577" t="s">
        <v>939</v>
      </c>
      <c r="D183" s="576">
        <v>52</v>
      </c>
      <c r="E183" s="578" t="s">
        <v>940</v>
      </c>
      <c r="F183" s="579" t="s">
        <v>78</v>
      </c>
      <c r="G183" s="580">
        <v>47000</v>
      </c>
      <c r="H183" s="581" t="s">
        <v>2413</v>
      </c>
    </row>
    <row r="184" spans="1:8" ht="19.5" thickBot="1">
      <c r="A184" s="576">
        <v>4460</v>
      </c>
      <c r="B184" s="576" t="s">
        <v>372</v>
      </c>
      <c r="C184" s="577" t="s">
        <v>936</v>
      </c>
      <c r="D184" s="576">
        <v>52</v>
      </c>
      <c r="E184" s="578" t="s">
        <v>937</v>
      </c>
      <c r="F184" s="579" t="s">
        <v>78</v>
      </c>
      <c r="G184" s="580">
        <v>55000</v>
      </c>
      <c r="H184" s="581" t="s">
        <v>2413</v>
      </c>
    </row>
    <row r="185" spans="1:8" ht="19.5" thickBot="1">
      <c r="A185" s="576">
        <v>4460</v>
      </c>
      <c r="B185" s="576" t="s">
        <v>683</v>
      </c>
      <c r="C185" s="577" t="s">
        <v>935</v>
      </c>
      <c r="D185" s="576">
        <v>61</v>
      </c>
      <c r="E185" s="578" t="s">
        <v>720</v>
      </c>
      <c r="F185" s="579" t="s">
        <v>78</v>
      </c>
      <c r="G185" s="580">
        <v>175000</v>
      </c>
      <c r="H185" s="581" t="s">
        <v>2413</v>
      </c>
    </row>
    <row r="186" spans="1:8" ht="19.5" thickBot="1">
      <c r="A186" s="576">
        <v>4460</v>
      </c>
      <c r="B186" s="576" t="s">
        <v>683</v>
      </c>
      <c r="C186" s="577" t="s">
        <v>941</v>
      </c>
      <c r="D186" s="576">
        <v>52</v>
      </c>
      <c r="E186" s="578" t="s">
        <v>942</v>
      </c>
      <c r="F186" s="579" t="s">
        <v>78</v>
      </c>
      <c r="G186" s="580">
        <v>300000</v>
      </c>
      <c r="H186" s="581" t="s">
        <v>2413</v>
      </c>
    </row>
    <row r="187" spans="1:8" ht="19.5" thickBot="1">
      <c r="A187" s="576">
        <v>4460</v>
      </c>
      <c r="B187" s="576" t="s">
        <v>683</v>
      </c>
      <c r="C187" s="577" t="s">
        <v>943</v>
      </c>
      <c r="D187" s="576">
        <v>62</v>
      </c>
      <c r="E187" s="578" t="s">
        <v>944</v>
      </c>
      <c r="F187" s="579" t="s">
        <v>78</v>
      </c>
      <c r="G187" s="580">
        <v>790000</v>
      </c>
      <c r="H187" s="581" t="s">
        <v>2413</v>
      </c>
    </row>
    <row r="188" spans="1:8" ht="19.5" thickBot="1">
      <c r="A188" s="602" t="s">
        <v>4129</v>
      </c>
      <c r="B188" s="603"/>
      <c r="C188" s="603"/>
      <c r="D188" s="603"/>
      <c r="E188" s="603"/>
      <c r="F188" s="603"/>
      <c r="G188" s="603"/>
      <c r="H188" s="604"/>
    </row>
    <row r="189" spans="1:8" ht="19.5" thickBot="1">
      <c r="A189" s="576">
        <v>4520</v>
      </c>
      <c r="B189" s="576" t="s">
        <v>157</v>
      </c>
      <c r="C189" s="577" t="s">
        <v>947</v>
      </c>
      <c r="D189" s="576">
        <v>52</v>
      </c>
      <c r="E189" s="578" t="s">
        <v>948</v>
      </c>
      <c r="F189" s="579" t="s">
        <v>78</v>
      </c>
      <c r="G189" s="580">
        <v>28000</v>
      </c>
      <c r="H189" s="581" t="s">
        <v>2414</v>
      </c>
    </row>
    <row r="190" spans="1:8" ht="19.5" thickBot="1">
      <c r="A190" s="576">
        <v>4520</v>
      </c>
      <c r="B190" s="576" t="s">
        <v>157</v>
      </c>
      <c r="C190" s="577" t="s">
        <v>949</v>
      </c>
      <c r="D190" s="576">
        <v>62</v>
      </c>
      <c r="E190" s="578" t="s">
        <v>950</v>
      </c>
      <c r="F190" s="579" t="s">
        <v>78</v>
      </c>
      <c r="G190" s="580">
        <v>25000</v>
      </c>
      <c r="H190" s="581" t="s">
        <v>2414</v>
      </c>
    </row>
    <row r="191" spans="1:8" ht="19.5" thickBot="1">
      <c r="A191" s="576">
        <v>4520</v>
      </c>
      <c r="B191" s="576" t="s">
        <v>4259</v>
      </c>
      <c r="C191" s="577" t="s">
        <v>4260</v>
      </c>
      <c r="D191" s="576">
        <v>62</v>
      </c>
      <c r="E191" s="578" t="s">
        <v>4261</v>
      </c>
      <c r="F191" s="579" t="s">
        <v>78</v>
      </c>
      <c r="G191" s="580">
        <v>3000000</v>
      </c>
      <c r="H191" s="581"/>
    </row>
    <row r="192" spans="1:8" ht="19.5" thickBot="1">
      <c r="A192" s="576">
        <v>4520</v>
      </c>
      <c r="B192" s="576" t="s">
        <v>157</v>
      </c>
      <c r="C192" s="577" t="s">
        <v>951</v>
      </c>
      <c r="D192" s="576">
        <v>55</v>
      </c>
      <c r="E192" s="578" t="s">
        <v>952</v>
      </c>
      <c r="F192" s="579" t="s">
        <v>48</v>
      </c>
      <c r="G192" s="580">
        <v>8500</v>
      </c>
      <c r="H192" s="581" t="s">
        <v>2414</v>
      </c>
    </row>
    <row r="193" spans="1:8" ht="19.5" thickBot="1">
      <c r="A193" s="602" t="s">
        <v>4130</v>
      </c>
      <c r="B193" s="603"/>
      <c r="C193" s="603"/>
      <c r="D193" s="603"/>
      <c r="E193" s="603"/>
      <c r="F193" s="603"/>
      <c r="G193" s="603"/>
      <c r="H193" s="604"/>
    </row>
    <row r="194" spans="1:8" ht="19.5" thickBot="1">
      <c r="A194" s="576">
        <v>4610</v>
      </c>
      <c r="B194" s="576" t="s">
        <v>256</v>
      </c>
      <c r="C194" s="577" t="s">
        <v>954</v>
      </c>
      <c r="D194" s="576">
        <v>58</v>
      </c>
      <c r="E194" s="578" t="s">
        <v>955</v>
      </c>
      <c r="F194" s="579" t="s">
        <v>78</v>
      </c>
      <c r="G194" s="580">
        <v>22000</v>
      </c>
      <c r="H194" s="581" t="s">
        <v>2415</v>
      </c>
    </row>
    <row r="195" spans="1:8" ht="19.5" thickBot="1">
      <c r="A195" s="576">
        <v>4610</v>
      </c>
      <c r="B195" s="576" t="s">
        <v>256</v>
      </c>
      <c r="C195" s="577" t="s">
        <v>956</v>
      </c>
      <c r="D195" s="576">
        <v>54</v>
      </c>
      <c r="E195" s="578" t="s">
        <v>957</v>
      </c>
      <c r="F195" s="579" t="s">
        <v>78</v>
      </c>
      <c r="G195" s="580">
        <v>24000</v>
      </c>
      <c r="H195" s="581" t="s">
        <v>2415</v>
      </c>
    </row>
    <row r="196" spans="1:8" ht="19.5" thickBot="1">
      <c r="A196" s="576">
        <v>4630</v>
      </c>
      <c r="B196" s="576" t="s">
        <v>256</v>
      </c>
      <c r="C196" s="577" t="s">
        <v>958</v>
      </c>
      <c r="D196" s="576">
        <v>55</v>
      </c>
      <c r="E196" s="578" t="s">
        <v>959</v>
      </c>
      <c r="F196" s="579" t="s">
        <v>78</v>
      </c>
      <c r="G196" s="580">
        <v>37000</v>
      </c>
      <c r="H196" s="581" t="s">
        <v>2418</v>
      </c>
    </row>
    <row r="197" spans="1:8" ht="19.5" thickBot="1">
      <c r="A197" s="576">
        <v>4630</v>
      </c>
      <c r="B197" s="576" t="s">
        <v>157</v>
      </c>
      <c r="C197" s="577" t="s">
        <v>960</v>
      </c>
      <c r="D197" s="576">
        <v>54</v>
      </c>
      <c r="E197" s="578" t="s">
        <v>961</v>
      </c>
      <c r="F197" s="579" t="s">
        <v>78</v>
      </c>
      <c r="G197" s="580">
        <v>25000</v>
      </c>
      <c r="H197" s="581" t="s">
        <v>2418</v>
      </c>
    </row>
    <row r="198" spans="1:8" ht="19.5" thickBot="1">
      <c r="A198" s="576">
        <v>4630</v>
      </c>
      <c r="B198" s="576" t="s">
        <v>256</v>
      </c>
      <c r="C198" s="577" t="s">
        <v>962</v>
      </c>
      <c r="D198" s="576">
        <v>55</v>
      </c>
      <c r="E198" s="578" t="s">
        <v>963</v>
      </c>
      <c r="F198" s="579" t="s">
        <v>78</v>
      </c>
      <c r="G198" s="580">
        <v>250000</v>
      </c>
      <c r="H198" s="581" t="s">
        <v>2418</v>
      </c>
    </row>
    <row r="199" spans="1:8" ht="19.5" thickBot="1">
      <c r="A199" s="602" t="s">
        <v>4131</v>
      </c>
      <c r="B199" s="603"/>
      <c r="C199" s="603"/>
      <c r="D199" s="603"/>
      <c r="E199" s="603"/>
      <c r="F199" s="603"/>
      <c r="G199" s="603"/>
      <c r="H199" s="604"/>
    </row>
    <row r="200" spans="1:8" ht="19.5" thickBot="1">
      <c r="A200" s="576">
        <v>4910</v>
      </c>
      <c r="B200" s="576" t="s">
        <v>157</v>
      </c>
      <c r="C200" s="577" t="s">
        <v>966</v>
      </c>
      <c r="D200" s="576">
        <v>53</v>
      </c>
      <c r="E200" s="578" t="s">
        <v>967</v>
      </c>
      <c r="F200" s="579" t="s">
        <v>78</v>
      </c>
      <c r="G200" s="580">
        <v>165000</v>
      </c>
      <c r="H200" s="581" t="s">
        <v>2419</v>
      </c>
    </row>
    <row r="201" spans="1:8" ht="19.5" thickBot="1">
      <c r="A201" s="576">
        <v>4930</v>
      </c>
      <c r="B201" s="576" t="s">
        <v>157</v>
      </c>
      <c r="C201" s="577" t="s">
        <v>968</v>
      </c>
      <c r="D201" s="576">
        <v>53</v>
      </c>
      <c r="E201" s="578" t="s">
        <v>969</v>
      </c>
      <c r="F201" s="579" t="s">
        <v>78</v>
      </c>
      <c r="G201" s="580">
        <v>27000</v>
      </c>
      <c r="H201" s="581" t="s">
        <v>2422</v>
      </c>
    </row>
    <row r="202" spans="1:8" ht="19.5" thickBot="1">
      <c r="A202" s="576">
        <v>4930</v>
      </c>
      <c r="B202" s="576" t="s">
        <v>157</v>
      </c>
      <c r="C202" s="577" t="s">
        <v>970</v>
      </c>
      <c r="D202" s="576">
        <v>53</v>
      </c>
      <c r="E202" s="578" t="s">
        <v>971</v>
      </c>
      <c r="F202" s="579" t="s">
        <v>78</v>
      </c>
      <c r="G202" s="580">
        <v>25000</v>
      </c>
      <c r="H202" s="581" t="s">
        <v>2422</v>
      </c>
    </row>
    <row r="203" spans="1:8" ht="19.5" thickBot="1">
      <c r="A203" s="602" t="s">
        <v>4132</v>
      </c>
      <c r="B203" s="603"/>
      <c r="C203" s="603"/>
      <c r="D203" s="603"/>
      <c r="E203" s="603"/>
      <c r="F203" s="603"/>
      <c r="G203" s="603"/>
      <c r="H203" s="604"/>
    </row>
    <row r="204" spans="1:8" ht="19.5" thickBot="1">
      <c r="A204" s="576">
        <v>5110</v>
      </c>
      <c r="B204" s="576" t="s">
        <v>37</v>
      </c>
      <c r="C204" s="577" t="s">
        <v>972</v>
      </c>
      <c r="D204" s="576">
        <v>53</v>
      </c>
      <c r="E204" s="578" t="s">
        <v>973</v>
      </c>
      <c r="F204" s="579" t="s">
        <v>78</v>
      </c>
      <c r="G204" s="580">
        <v>80000</v>
      </c>
      <c r="H204" s="581" t="s">
        <v>2425</v>
      </c>
    </row>
    <row r="205" spans="1:8" ht="19.5" thickBot="1">
      <c r="A205" s="576">
        <v>5120</v>
      </c>
      <c r="B205" s="576" t="s">
        <v>157</v>
      </c>
      <c r="C205" s="577" t="s">
        <v>974</v>
      </c>
      <c r="D205" s="576">
        <v>52</v>
      </c>
      <c r="E205" s="578" t="s">
        <v>975</v>
      </c>
      <c r="F205" s="579" t="s">
        <v>53</v>
      </c>
      <c r="G205" s="580">
        <v>15000</v>
      </c>
      <c r="H205" s="581" t="s">
        <v>2426</v>
      </c>
    </row>
    <row r="206" spans="1:8" ht="19.5" thickBot="1">
      <c r="A206" s="576">
        <v>5120</v>
      </c>
      <c r="B206" s="576" t="s">
        <v>37</v>
      </c>
      <c r="C206" s="577" t="s">
        <v>4191</v>
      </c>
      <c r="D206" s="576">
        <v>62</v>
      </c>
      <c r="E206" s="578" t="s">
        <v>978</v>
      </c>
      <c r="F206" s="579" t="s">
        <v>78</v>
      </c>
      <c r="G206" s="580">
        <v>210000</v>
      </c>
      <c r="H206" s="581">
        <v>5120</v>
      </c>
    </row>
    <row r="207" spans="1:8" ht="19.5" thickBot="1">
      <c r="A207" s="576">
        <v>5120</v>
      </c>
      <c r="B207" s="576" t="s">
        <v>157</v>
      </c>
      <c r="C207" s="577" t="s">
        <v>979</v>
      </c>
      <c r="D207" s="576">
        <v>52</v>
      </c>
      <c r="E207" s="578" t="s">
        <v>980</v>
      </c>
      <c r="F207" s="579" t="s">
        <v>48</v>
      </c>
      <c r="G207" s="580">
        <v>6500</v>
      </c>
      <c r="H207" s="581" t="s">
        <v>2426</v>
      </c>
    </row>
    <row r="208" spans="1:8" ht="19.5" thickBot="1">
      <c r="A208" s="576">
        <v>5120</v>
      </c>
      <c r="B208" s="576" t="s">
        <v>157</v>
      </c>
      <c r="C208" s="577" t="s">
        <v>981</v>
      </c>
      <c r="D208" s="576">
        <v>54</v>
      </c>
      <c r="E208" s="578" t="s">
        <v>982</v>
      </c>
      <c r="F208" s="579" t="s">
        <v>48</v>
      </c>
      <c r="G208" s="580">
        <v>7500</v>
      </c>
      <c r="H208" s="581" t="s">
        <v>2426</v>
      </c>
    </row>
    <row r="209" spans="1:8" ht="38.25" thickBot="1">
      <c r="A209" s="537" t="s">
        <v>10</v>
      </c>
      <c r="B209" s="537" t="s">
        <v>2</v>
      </c>
      <c r="C209" s="537" t="s">
        <v>3</v>
      </c>
      <c r="D209" s="537" t="s">
        <v>4</v>
      </c>
      <c r="E209" s="537" t="s">
        <v>2754</v>
      </c>
      <c r="F209" s="538" t="s">
        <v>3600</v>
      </c>
      <c r="G209" s="538" t="s">
        <v>7</v>
      </c>
      <c r="H209" s="538" t="s">
        <v>8</v>
      </c>
    </row>
    <row r="210" spans="1:8" ht="19.5" thickBot="1">
      <c r="A210" s="576">
        <v>5120</v>
      </c>
      <c r="B210" s="576" t="s">
        <v>157</v>
      </c>
      <c r="C210" s="577" t="s">
        <v>985</v>
      </c>
      <c r="D210" s="576">
        <v>53</v>
      </c>
      <c r="E210" s="578" t="s">
        <v>984</v>
      </c>
      <c r="F210" s="579" t="s">
        <v>48</v>
      </c>
      <c r="G210" s="580">
        <v>12500</v>
      </c>
      <c r="H210" s="581" t="s">
        <v>2426</v>
      </c>
    </row>
    <row r="211" spans="1:8" ht="19.5" thickBot="1">
      <c r="A211" s="576">
        <v>5120</v>
      </c>
      <c r="B211" s="576" t="s">
        <v>157</v>
      </c>
      <c r="C211" s="577" t="s">
        <v>985</v>
      </c>
      <c r="D211" s="576">
        <v>54</v>
      </c>
      <c r="E211" s="578" t="s">
        <v>986</v>
      </c>
      <c r="F211" s="579" t="s">
        <v>48</v>
      </c>
      <c r="G211" s="580">
        <v>15000</v>
      </c>
      <c r="H211" s="581" t="s">
        <v>2426</v>
      </c>
    </row>
    <row r="212" spans="1:8" ht="19.5" thickBot="1">
      <c r="A212" s="576">
        <v>5120</v>
      </c>
      <c r="B212" s="576" t="s">
        <v>157</v>
      </c>
      <c r="C212" s="577" t="s">
        <v>990</v>
      </c>
      <c r="D212" s="576">
        <v>54</v>
      </c>
      <c r="E212" s="578" t="s">
        <v>991</v>
      </c>
      <c r="F212" s="579" t="s">
        <v>48</v>
      </c>
      <c r="G212" s="580">
        <v>28000</v>
      </c>
      <c r="H212" s="581" t="s">
        <v>2426</v>
      </c>
    </row>
    <row r="213" spans="1:8" ht="19.5" thickBot="1">
      <c r="A213" s="576">
        <v>5120</v>
      </c>
      <c r="B213" s="576" t="s">
        <v>157</v>
      </c>
      <c r="C213" s="577" t="s">
        <v>987</v>
      </c>
      <c r="D213" s="576">
        <v>54</v>
      </c>
      <c r="E213" s="578" t="s">
        <v>989</v>
      </c>
      <c r="F213" s="579" t="s">
        <v>48</v>
      </c>
      <c r="G213" s="580">
        <v>65000</v>
      </c>
      <c r="H213" s="581" t="s">
        <v>2426</v>
      </c>
    </row>
    <row r="214" spans="1:8" s="440" customFormat="1" ht="19.5" thickBot="1">
      <c r="A214" s="576">
        <v>5130</v>
      </c>
      <c r="B214" s="576" t="s">
        <v>191</v>
      </c>
      <c r="C214" s="577" t="s">
        <v>992</v>
      </c>
      <c r="D214" s="576">
        <v>59</v>
      </c>
      <c r="E214" s="578" t="s">
        <v>993</v>
      </c>
      <c r="F214" s="579" t="s">
        <v>78</v>
      </c>
      <c r="G214" s="580">
        <v>15000</v>
      </c>
      <c r="H214" s="581" t="s">
        <v>2427</v>
      </c>
    </row>
    <row r="215" spans="1:8" ht="19.5" thickBot="1">
      <c r="A215" s="576">
        <v>5130</v>
      </c>
      <c r="B215" s="576" t="s">
        <v>191</v>
      </c>
      <c r="C215" s="577" t="s">
        <v>995</v>
      </c>
      <c r="D215" s="576">
        <v>59</v>
      </c>
      <c r="E215" s="578" t="s">
        <v>997</v>
      </c>
      <c r="F215" s="579" t="s">
        <v>78</v>
      </c>
      <c r="G215" s="580">
        <v>19500</v>
      </c>
      <c r="H215" s="581" t="s">
        <v>2427</v>
      </c>
    </row>
    <row r="216" spans="1:8" ht="19.5" thickBot="1">
      <c r="A216" s="576">
        <v>5130</v>
      </c>
      <c r="B216" s="576" t="s">
        <v>191</v>
      </c>
      <c r="C216" s="577" t="s">
        <v>998</v>
      </c>
      <c r="D216" s="576">
        <v>55</v>
      </c>
      <c r="E216" s="578" t="s">
        <v>999</v>
      </c>
      <c r="F216" s="579" t="s">
        <v>78</v>
      </c>
      <c r="G216" s="580">
        <v>13700</v>
      </c>
      <c r="H216" s="581" t="s">
        <v>2427</v>
      </c>
    </row>
    <row r="217" spans="1:8" ht="19.5" thickBot="1">
      <c r="A217" s="576">
        <v>5130</v>
      </c>
      <c r="B217" s="576" t="s">
        <v>157</v>
      </c>
      <c r="C217" s="577" t="s">
        <v>1000</v>
      </c>
      <c r="D217" s="576">
        <v>54</v>
      </c>
      <c r="E217" s="578" t="s">
        <v>1001</v>
      </c>
      <c r="F217" s="579" t="s">
        <v>78</v>
      </c>
      <c r="G217" s="580">
        <v>5500</v>
      </c>
      <c r="H217" s="581" t="s">
        <v>2427</v>
      </c>
    </row>
    <row r="218" spans="1:8" s="440" customFormat="1" ht="19.5" thickBot="1">
      <c r="A218" s="576">
        <v>5130</v>
      </c>
      <c r="B218" s="576" t="s">
        <v>191</v>
      </c>
      <c r="C218" s="577" t="s">
        <v>1002</v>
      </c>
      <c r="D218" s="576">
        <v>58</v>
      </c>
      <c r="E218" s="578" t="s">
        <v>1003</v>
      </c>
      <c r="F218" s="579" t="s">
        <v>78</v>
      </c>
      <c r="G218" s="580">
        <v>6300</v>
      </c>
      <c r="H218" s="581" t="s">
        <v>2427</v>
      </c>
    </row>
    <row r="219" spans="1:8" ht="19.5" thickBot="1">
      <c r="A219" s="576">
        <v>5130</v>
      </c>
      <c r="B219" s="576" t="s">
        <v>191</v>
      </c>
      <c r="C219" s="577" t="s">
        <v>1004</v>
      </c>
      <c r="D219" s="576">
        <v>55</v>
      </c>
      <c r="E219" s="578" t="s">
        <v>1005</v>
      </c>
      <c r="F219" s="579" t="s">
        <v>78</v>
      </c>
      <c r="G219" s="580">
        <v>21200</v>
      </c>
      <c r="H219" s="581" t="s">
        <v>2427</v>
      </c>
    </row>
    <row r="220" spans="1:8" ht="19.5" thickBot="1">
      <c r="A220" s="576">
        <v>5130</v>
      </c>
      <c r="B220" s="576" t="s">
        <v>191</v>
      </c>
      <c r="C220" s="577" t="s">
        <v>1006</v>
      </c>
      <c r="D220" s="576">
        <v>57</v>
      </c>
      <c r="E220" s="578" t="s">
        <v>1007</v>
      </c>
      <c r="F220" s="579" t="s">
        <v>78</v>
      </c>
      <c r="G220" s="580">
        <v>17500</v>
      </c>
      <c r="H220" s="581" t="s">
        <v>2427</v>
      </c>
    </row>
    <row r="221" spans="1:8" ht="19.5" thickBot="1">
      <c r="A221" s="576">
        <v>5130</v>
      </c>
      <c r="B221" s="576" t="s">
        <v>191</v>
      </c>
      <c r="C221" s="577" t="s">
        <v>1008</v>
      </c>
      <c r="D221" s="576">
        <v>55</v>
      </c>
      <c r="E221" s="578" t="s">
        <v>1009</v>
      </c>
      <c r="F221" s="579" t="s">
        <v>78</v>
      </c>
      <c r="G221" s="580">
        <v>4500</v>
      </c>
      <c r="H221" s="581" t="s">
        <v>2427</v>
      </c>
    </row>
    <row r="222" spans="1:8" s="440" customFormat="1" ht="19.5" thickBot="1">
      <c r="A222" s="576">
        <v>5130</v>
      </c>
      <c r="B222" s="576" t="s">
        <v>256</v>
      </c>
      <c r="C222" s="577" t="s">
        <v>1010</v>
      </c>
      <c r="D222" s="576">
        <v>53</v>
      </c>
      <c r="E222" s="578" t="s">
        <v>1011</v>
      </c>
      <c r="F222" s="579" t="s">
        <v>78</v>
      </c>
      <c r="G222" s="580">
        <v>9000</v>
      </c>
      <c r="H222" s="581" t="s">
        <v>2427</v>
      </c>
    </row>
    <row r="223" spans="1:8" ht="19.5" thickBot="1">
      <c r="A223" s="576">
        <v>5130</v>
      </c>
      <c r="B223" s="576" t="s">
        <v>191</v>
      </c>
      <c r="C223" s="577" t="s">
        <v>1012</v>
      </c>
      <c r="D223" s="576">
        <v>53</v>
      </c>
      <c r="E223" s="578" t="s">
        <v>1013</v>
      </c>
      <c r="F223" s="579" t="s">
        <v>78</v>
      </c>
      <c r="G223" s="580">
        <v>5600</v>
      </c>
      <c r="H223" s="581" t="s">
        <v>2427</v>
      </c>
    </row>
    <row r="224" spans="1:8" s="440" customFormat="1" ht="19.5" thickBot="1">
      <c r="A224" s="576">
        <v>5130</v>
      </c>
      <c r="B224" s="576" t="s">
        <v>191</v>
      </c>
      <c r="C224" s="577" t="s">
        <v>1014</v>
      </c>
      <c r="D224" s="576">
        <v>53</v>
      </c>
      <c r="E224" s="578" t="s">
        <v>1015</v>
      </c>
      <c r="F224" s="579" t="s">
        <v>78</v>
      </c>
      <c r="G224" s="580">
        <v>6900</v>
      </c>
      <c r="H224" s="581" t="s">
        <v>2427</v>
      </c>
    </row>
    <row r="225" spans="1:8" ht="19.5" thickBot="1">
      <c r="A225" s="576">
        <v>5130</v>
      </c>
      <c r="B225" s="576" t="s">
        <v>191</v>
      </c>
      <c r="C225" s="577" t="s">
        <v>1016</v>
      </c>
      <c r="D225" s="576">
        <v>55</v>
      </c>
      <c r="E225" s="578" t="s">
        <v>1017</v>
      </c>
      <c r="F225" s="579" t="s">
        <v>78</v>
      </c>
      <c r="G225" s="580">
        <v>6500</v>
      </c>
      <c r="H225" s="581" t="s">
        <v>2427</v>
      </c>
    </row>
    <row r="226" spans="1:8" ht="19.5" thickBot="1">
      <c r="A226" s="576">
        <v>5130</v>
      </c>
      <c r="B226" s="576" t="s">
        <v>191</v>
      </c>
      <c r="C226" s="577" t="s">
        <v>1018</v>
      </c>
      <c r="D226" s="576">
        <v>55</v>
      </c>
      <c r="E226" s="578" t="s">
        <v>1019</v>
      </c>
      <c r="F226" s="579" t="s">
        <v>78</v>
      </c>
      <c r="G226" s="580">
        <v>10800</v>
      </c>
      <c r="H226" s="581" t="s">
        <v>2427</v>
      </c>
    </row>
    <row r="227" spans="1:8" ht="19.5" thickBot="1">
      <c r="A227" s="576">
        <v>5130</v>
      </c>
      <c r="B227" s="576" t="s">
        <v>191</v>
      </c>
      <c r="C227" s="577" t="s">
        <v>1020</v>
      </c>
      <c r="D227" s="576">
        <v>53</v>
      </c>
      <c r="E227" s="578" t="s">
        <v>1021</v>
      </c>
      <c r="F227" s="579" t="s">
        <v>78</v>
      </c>
      <c r="G227" s="580">
        <v>11500</v>
      </c>
      <c r="H227" s="581" t="s">
        <v>2427</v>
      </c>
    </row>
    <row r="228" spans="1:8" ht="19.5" thickBot="1">
      <c r="A228" s="576">
        <v>5130</v>
      </c>
      <c r="B228" s="576" t="s">
        <v>191</v>
      </c>
      <c r="C228" s="577" t="s">
        <v>1022</v>
      </c>
      <c r="D228" s="576">
        <v>52</v>
      </c>
      <c r="E228" s="578" t="s">
        <v>1023</v>
      </c>
      <c r="F228" s="579" t="s">
        <v>78</v>
      </c>
      <c r="G228" s="580">
        <v>12500</v>
      </c>
      <c r="H228" s="581" t="s">
        <v>2427</v>
      </c>
    </row>
    <row r="229" spans="1:8" ht="24" customHeight="1" thickBot="1">
      <c r="A229" s="576">
        <v>5133</v>
      </c>
      <c r="B229" s="576" t="s">
        <v>157</v>
      </c>
      <c r="C229" s="577" t="s">
        <v>1024</v>
      </c>
      <c r="D229" s="576">
        <v>53</v>
      </c>
      <c r="E229" s="578" t="s">
        <v>1025</v>
      </c>
      <c r="F229" s="579" t="s">
        <v>53</v>
      </c>
      <c r="G229" s="580">
        <v>4500</v>
      </c>
      <c r="H229" s="581" t="s">
        <v>2428</v>
      </c>
    </row>
    <row r="230" spans="1:8" ht="19.5" thickBot="1">
      <c r="A230" s="576">
        <v>5180</v>
      </c>
      <c r="B230" s="576" t="s">
        <v>157</v>
      </c>
      <c r="C230" s="577" t="s">
        <v>1026</v>
      </c>
      <c r="D230" s="576">
        <v>54</v>
      </c>
      <c r="E230" s="578" t="s">
        <v>1027</v>
      </c>
      <c r="F230" s="579" t="s">
        <v>53</v>
      </c>
      <c r="G230" s="580">
        <v>28000</v>
      </c>
      <c r="H230" s="581" t="s">
        <v>2431</v>
      </c>
    </row>
    <row r="231" spans="1:8" ht="19.5" thickBot="1">
      <c r="A231" s="602" t="s">
        <v>4133</v>
      </c>
      <c r="B231" s="603"/>
      <c r="C231" s="603"/>
      <c r="D231" s="603"/>
      <c r="E231" s="603"/>
      <c r="F231" s="603"/>
      <c r="G231" s="603"/>
      <c r="H231" s="604"/>
    </row>
    <row r="232" spans="1:8" ht="19.5" thickBot="1">
      <c r="A232" s="576">
        <v>5345</v>
      </c>
      <c r="B232" s="576" t="s">
        <v>157</v>
      </c>
      <c r="C232" s="577" t="s">
        <v>1028</v>
      </c>
      <c r="D232" s="576">
        <v>52</v>
      </c>
      <c r="E232" s="578" t="s">
        <v>1029</v>
      </c>
      <c r="F232" s="579" t="s">
        <v>48</v>
      </c>
      <c r="G232" s="580">
        <v>6500</v>
      </c>
      <c r="H232" s="581" t="s">
        <v>2436</v>
      </c>
    </row>
    <row r="233" spans="1:8" ht="19.5" thickBot="1">
      <c r="A233" s="576">
        <v>5345</v>
      </c>
      <c r="B233" s="576" t="s">
        <v>157</v>
      </c>
      <c r="C233" s="577" t="s">
        <v>1030</v>
      </c>
      <c r="D233" s="576">
        <v>53</v>
      </c>
      <c r="E233" s="578" t="s">
        <v>1031</v>
      </c>
      <c r="F233" s="579" t="s">
        <v>48</v>
      </c>
      <c r="G233" s="580">
        <v>8500</v>
      </c>
      <c r="H233" s="581" t="s">
        <v>2436</v>
      </c>
    </row>
    <row r="234" spans="1:8" ht="24" customHeight="1" thickBot="1">
      <c r="A234" s="602" t="s">
        <v>4134</v>
      </c>
      <c r="B234" s="603"/>
      <c r="C234" s="603"/>
      <c r="D234" s="603"/>
      <c r="E234" s="603"/>
      <c r="F234" s="603"/>
      <c r="G234" s="603"/>
      <c r="H234" s="604"/>
    </row>
    <row r="235" spans="1:8" ht="21.75" customHeight="1" thickBot="1">
      <c r="A235" s="576">
        <v>5410</v>
      </c>
      <c r="B235" s="576" t="s">
        <v>191</v>
      </c>
      <c r="C235" s="577" t="s">
        <v>1032</v>
      </c>
      <c r="D235" s="576">
        <v>54</v>
      </c>
      <c r="E235" s="578" t="s">
        <v>1033</v>
      </c>
      <c r="F235" s="579" t="s">
        <v>358</v>
      </c>
      <c r="G235" s="580">
        <v>190000</v>
      </c>
      <c r="H235" s="581" t="s">
        <v>2439</v>
      </c>
    </row>
    <row r="236" spans="1:8" ht="21.75" customHeight="1" thickBot="1">
      <c r="A236" s="576">
        <v>5430</v>
      </c>
      <c r="B236" s="576" t="s">
        <v>256</v>
      </c>
      <c r="C236" s="577" t="s">
        <v>1036</v>
      </c>
      <c r="D236" s="576">
        <v>59</v>
      </c>
      <c r="E236" s="578" t="s">
        <v>1037</v>
      </c>
      <c r="F236" s="579" t="s">
        <v>433</v>
      </c>
      <c r="G236" s="580">
        <v>17000</v>
      </c>
      <c r="H236" s="581" t="s">
        <v>2442</v>
      </c>
    </row>
    <row r="237" spans="1:8" ht="19.5" thickBot="1">
      <c r="A237" s="602" t="s">
        <v>4135</v>
      </c>
      <c r="B237" s="603"/>
      <c r="C237" s="603"/>
      <c r="D237" s="603"/>
      <c r="E237" s="603"/>
      <c r="F237" s="603"/>
      <c r="G237" s="603"/>
      <c r="H237" s="604"/>
    </row>
    <row r="238" spans="1:8" ht="19.5" thickBot="1">
      <c r="A238" s="606">
        <v>5925</v>
      </c>
      <c r="B238" s="607" t="s">
        <v>37</v>
      </c>
      <c r="C238" s="608">
        <v>9525.0161290322576</v>
      </c>
      <c r="D238" s="576">
        <v>62</v>
      </c>
      <c r="E238" s="609" t="s">
        <v>4192</v>
      </c>
      <c r="F238" s="610" t="s">
        <v>1044</v>
      </c>
      <c r="G238" s="611">
        <v>21500</v>
      </c>
      <c r="H238" s="612">
        <v>5925</v>
      </c>
    </row>
    <row r="239" spans="1:8" ht="22.5" customHeight="1" thickBot="1">
      <c r="A239" s="576">
        <v>5925</v>
      </c>
      <c r="B239" s="576" t="s">
        <v>37</v>
      </c>
      <c r="C239" s="577" t="s">
        <v>1042</v>
      </c>
      <c r="D239" s="576">
        <v>60</v>
      </c>
      <c r="E239" s="578" t="s">
        <v>1043</v>
      </c>
      <c r="F239" s="579" t="s">
        <v>1044</v>
      </c>
      <c r="G239" s="580">
        <v>29000</v>
      </c>
      <c r="H239" s="581" t="s">
        <v>2452</v>
      </c>
    </row>
    <row r="240" spans="1:8" ht="19.5" thickBot="1">
      <c r="A240" s="602" t="s">
        <v>4136</v>
      </c>
      <c r="B240" s="603"/>
      <c r="C240" s="603"/>
      <c r="D240" s="603"/>
      <c r="E240" s="603"/>
      <c r="F240" s="603"/>
      <c r="G240" s="603"/>
      <c r="H240" s="604"/>
    </row>
    <row r="241" spans="1:8" ht="30.75" customHeight="1" thickBot="1">
      <c r="A241" s="576">
        <v>6110</v>
      </c>
      <c r="B241" s="576" t="s">
        <v>37</v>
      </c>
      <c r="C241" s="577" t="s">
        <v>1051</v>
      </c>
      <c r="D241" s="576">
        <v>53</v>
      </c>
      <c r="E241" s="578" t="s">
        <v>1052</v>
      </c>
      <c r="F241" s="579" t="s">
        <v>78</v>
      </c>
      <c r="G241" s="580">
        <v>350000</v>
      </c>
      <c r="H241" s="581" t="s">
        <v>2459</v>
      </c>
    </row>
    <row r="242" spans="1:8" ht="38.25" thickBot="1">
      <c r="A242" s="576">
        <v>6110</v>
      </c>
      <c r="B242" s="576" t="s">
        <v>37</v>
      </c>
      <c r="C242" s="577" t="s">
        <v>1053</v>
      </c>
      <c r="D242" s="576">
        <v>53</v>
      </c>
      <c r="E242" s="578" t="s">
        <v>1054</v>
      </c>
      <c r="F242" s="579" t="s">
        <v>78</v>
      </c>
      <c r="G242" s="580">
        <v>738000</v>
      </c>
      <c r="H242" s="581" t="s">
        <v>2459</v>
      </c>
    </row>
    <row r="243" spans="1:8" ht="38.25" thickBot="1">
      <c r="A243" s="576">
        <v>6110</v>
      </c>
      <c r="B243" s="576" t="s">
        <v>37</v>
      </c>
      <c r="C243" s="577" t="s">
        <v>1055</v>
      </c>
      <c r="D243" s="576">
        <v>58</v>
      </c>
      <c r="E243" s="578" t="s">
        <v>1056</v>
      </c>
      <c r="F243" s="579" t="s">
        <v>78</v>
      </c>
      <c r="G243" s="580">
        <v>180000</v>
      </c>
      <c r="H243" s="581" t="s">
        <v>2459</v>
      </c>
    </row>
    <row r="244" spans="1:8" ht="38.25" thickBot="1">
      <c r="A244" s="576">
        <v>6110</v>
      </c>
      <c r="B244" s="576" t="s">
        <v>37</v>
      </c>
      <c r="C244" s="577" t="s">
        <v>1057</v>
      </c>
      <c r="D244" s="576">
        <v>58</v>
      </c>
      <c r="E244" s="578" t="s">
        <v>1058</v>
      </c>
      <c r="F244" s="579" t="s">
        <v>78</v>
      </c>
      <c r="G244" s="580">
        <v>450000</v>
      </c>
      <c r="H244" s="581" t="s">
        <v>2459</v>
      </c>
    </row>
    <row r="245" spans="1:8" ht="38.25" thickBot="1">
      <c r="A245" s="576">
        <v>6110</v>
      </c>
      <c r="B245" s="576" t="s">
        <v>37</v>
      </c>
      <c r="C245" s="577" t="s">
        <v>1059</v>
      </c>
      <c r="D245" s="576">
        <v>58</v>
      </c>
      <c r="E245" s="578" t="s">
        <v>1060</v>
      </c>
      <c r="F245" s="579" t="s">
        <v>78</v>
      </c>
      <c r="G245" s="580">
        <v>350000</v>
      </c>
      <c r="H245" s="581" t="s">
        <v>2459</v>
      </c>
    </row>
    <row r="246" spans="1:8" ht="38.25" thickBot="1">
      <c r="A246" s="576">
        <v>6110</v>
      </c>
      <c r="B246" s="576" t="s">
        <v>37</v>
      </c>
      <c r="C246" s="577" t="s">
        <v>1061</v>
      </c>
      <c r="D246" s="576">
        <v>58</v>
      </c>
      <c r="E246" s="578" t="s">
        <v>1062</v>
      </c>
      <c r="F246" s="579" t="s">
        <v>78</v>
      </c>
      <c r="G246" s="580">
        <v>300000</v>
      </c>
      <c r="H246" s="581" t="s">
        <v>2459</v>
      </c>
    </row>
    <row r="247" spans="1:8" ht="38.25" thickBot="1">
      <c r="A247" s="576">
        <v>6110</v>
      </c>
      <c r="B247" s="576" t="s">
        <v>37</v>
      </c>
      <c r="C247" s="577" t="s">
        <v>1063</v>
      </c>
      <c r="D247" s="576">
        <v>58</v>
      </c>
      <c r="E247" s="578" t="s">
        <v>1064</v>
      </c>
      <c r="F247" s="579" t="s">
        <v>78</v>
      </c>
      <c r="G247" s="580">
        <v>450000</v>
      </c>
      <c r="H247" s="581" t="s">
        <v>2459</v>
      </c>
    </row>
    <row r="248" spans="1:8" ht="19.5" thickBot="1">
      <c r="A248" s="576">
        <v>6110</v>
      </c>
      <c r="B248" s="576" t="s">
        <v>37</v>
      </c>
      <c r="C248" s="577" t="s">
        <v>1065</v>
      </c>
      <c r="D248" s="576">
        <v>61</v>
      </c>
      <c r="E248" s="578" t="s">
        <v>1066</v>
      </c>
      <c r="F248" s="579" t="s">
        <v>78</v>
      </c>
      <c r="G248" s="580">
        <v>1500000</v>
      </c>
      <c r="H248" s="581" t="s">
        <v>2459</v>
      </c>
    </row>
    <row r="249" spans="1:8" ht="19.5" thickBot="1">
      <c r="A249" s="576">
        <v>6110</v>
      </c>
      <c r="B249" s="576" t="s">
        <v>37</v>
      </c>
      <c r="C249" s="577" t="s">
        <v>1067</v>
      </c>
      <c r="D249" s="576">
        <v>59</v>
      </c>
      <c r="E249" s="578" t="s">
        <v>4193</v>
      </c>
      <c r="F249" s="579" t="s">
        <v>78</v>
      </c>
      <c r="G249" s="580">
        <v>800000</v>
      </c>
      <c r="H249" s="581">
        <v>6110</v>
      </c>
    </row>
    <row r="250" spans="1:8" ht="19.5" thickBot="1">
      <c r="A250" s="576">
        <v>6110</v>
      </c>
      <c r="B250" s="576" t="s">
        <v>37</v>
      </c>
      <c r="C250" s="577" t="s">
        <v>1069</v>
      </c>
      <c r="D250" s="576">
        <v>60</v>
      </c>
      <c r="E250" s="578" t="s">
        <v>1070</v>
      </c>
      <c r="F250" s="579" t="s">
        <v>78</v>
      </c>
      <c r="G250" s="580">
        <v>1200000</v>
      </c>
      <c r="H250" s="581" t="s">
        <v>2459</v>
      </c>
    </row>
    <row r="251" spans="1:8" ht="19.5" thickBot="1">
      <c r="A251" s="576">
        <v>6110</v>
      </c>
      <c r="B251" s="576" t="s">
        <v>37</v>
      </c>
      <c r="C251" s="577" t="s">
        <v>1071</v>
      </c>
      <c r="D251" s="576">
        <v>56</v>
      </c>
      <c r="E251" s="578" t="s">
        <v>1072</v>
      </c>
      <c r="F251" s="579" t="s">
        <v>78</v>
      </c>
      <c r="G251" s="580">
        <v>1500000</v>
      </c>
      <c r="H251" s="581" t="s">
        <v>2459</v>
      </c>
    </row>
    <row r="252" spans="1:8" ht="19.5" thickBot="1">
      <c r="A252" s="576">
        <v>6110</v>
      </c>
      <c r="B252" s="576" t="s">
        <v>37</v>
      </c>
      <c r="C252" s="577" t="s">
        <v>1073</v>
      </c>
      <c r="D252" s="576">
        <v>55</v>
      </c>
      <c r="E252" s="578" t="s">
        <v>1074</v>
      </c>
      <c r="F252" s="579" t="s">
        <v>78</v>
      </c>
      <c r="G252" s="580">
        <v>1350000</v>
      </c>
      <c r="H252" s="581" t="s">
        <v>2459</v>
      </c>
    </row>
    <row r="253" spans="1:8" ht="19.5" thickBot="1">
      <c r="A253" s="576">
        <v>6110</v>
      </c>
      <c r="B253" s="576" t="s">
        <v>37</v>
      </c>
      <c r="C253" s="577" t="s">
        <v>1075</v>
      </c>
      <c r="D253" s="576">
        <v>57</v>
      </c>
      <c r="E253" s="578" t="s">
        <v>1076</v>
      </c>
      <c r="F253" s="579" t="s">
        <v>78</v>
      </c>
      <c r="G253" s="580">
        <v>1050000</v>
      </c>
      <c r="H253" s="581" t="s">
        <v>2459</v>
      </c>
    </row>
    <row r="254" spans="1:8" ht="19.5" thickBot="1">
      <c r="A254" s="576">
        <v>6115</v>
      </c>
      <c r="B254" s="576" t="s">
        <v>37</v>
      </c>
      <c r="C254" s="577" t="s">
        <v>1077</v>
      </c>
      <c r="D254" s="576">
        <v>58</v>
      </c>
      <c r="E254" s="578" t="s">
        <v>4244</v>
      </c>
      <c r="F254" s="579" t="s">
        <v>78</v>
      </c>
      <c r="G254" s="580">
        <v>260000</v>
      </c>
      <c r="H254" s="581" t="s">
        <v>2460</v>
      </c>
    </row>
    <row r="255" spans="1:8" ht="19.5" thickBot="1">
      <c r="A255" s="576">
        <v>6115</v>
      </c>
      <c r="B255" s="576" t="s">
        <v>37</v>
      </c>
      <c r="C255" s="577" t="s">
        <v>1080</v>
      </c>
      <c r="D255" s="576">
        <v>60</v>
      </c>
      <c r="E255" s="578" t="s">
        <v>782</v>
      </c>
      <c r="F255" s="579" t="s">
        <v>78</v>
      </c>
      <c r="G255" s="580">
        <v>670000</v>
      </c>
      <c r="H255" s="581" t="s">
        <v>2460</v>
      </c>
    </row>
    <row r="256" spans="1:8" ht="38.25" thickBot="1">
      <c r="A256" s="537" t="s">
        <v>10</v>
      </c>
      <c r="B256" s="537" t="s">
        <v>2</v>
      </c>
      <c r="C256" s="537" t="s">
        <v>3</v>
      </c>
      <c r="D256" s="537" t="s">
        <v>4</v>
      </c>
      <c r="E256" s="537" t="s">
        <v>2754</v>
      </c>
      <c r="F256" s="538" t="s">
        <v>3600</v>
      </c>
      <c r="G256" s="538" t="s">
        <v>7</v>
      </c>
      <c r="H256" s="538" t="s">
        <v>8</v>
      </c>
    </row>
    <row r="257" spans="1:8" ht="22.5" customHeight="1" thickBot="1">
      <c r="A257" s="576">
        <v>6115</v>
      </c>
      <c r="B257" s="576" t="s">
        <v>37</v>
      </c>
      <c r="C257" s="577" t="s">
        <v>1083</v>
      </c>
      <c r="D257" s="576">
        <v>60</v>
      </c>
      <c r="E257" s="578" t="s">
        <v>1084</v>
      </c>
      <c r="F257" s="579" t="s">
        <v>78</v>
      </c>
      <c r="G257" s="580">
        <v>758000</v>
      </c>
      <c r="H257" s="581" t="s">
        <v>2460</v>
      </c>
    </row>
    <row r="258" spans="1:8" ht="19.5" thickBot="1">
      <c r="A258" s="576">
        <v>6115</v>
      </c>
      <c r="B258" s="576" t="s">
        <v>37</v>
      </c>
      <c r="C258" s="577" t="s">
        <v>1088</v>
      </c>
      <c r="D258" s="576">
        <v>57</v>
      </c>
      <c r="E258" s="578" t="s">
        <v>1089</v>
      </c>
      <c r="F258" s="579" t="s">
        <v>78</v>
      </c>
      <c r="G258" s="580">
        <v>13000</v>
      </c>
      <c r="H258" s="581" t="s">
        <v>2460</v>
      </c>
    </row>
    <row r="259" spans="1:8" ht="19.5" thickBot="1">
      <c r="A259" s="576">
        <v>6115</v>
      </c>
      <c r="B259" s="576" t="s">
        <v>37</v>
      </c>
      <c r="C259" s="577" t="s">
        <v>1085</v>
      </c>
      <c r="D259" s="576">
        <v>54</v>
      </c>
      <c r="E259" s="578" t="s">
        <v>1086</v>
      </c>
      <c r="F259" s="579" t="s">
        <v>78</v>
      </c>
      <c r="G259" s="580">
        <v>150000</v>
      </c>
      <c r="H259" s="581" t="s">
        <v>2460</v>
      </c>
    </row>
    <row r="260" spans="1:8" ht="19.5" thickBot="1">
      <c r="A260" s="576">
        <v>6115</v>
      </c>
      <c r="B260" s="576" t="s">
        <v>37</v>
      </c>
      <c r="C260" s="577" t="s">
        <v>1090</v>
      </c>
      <c r="D260" s="576">
        <v>58</v>
      </c>
      <c r="E260" s="578" t="s">
        <v>1091</v>
      </c>
      <c r="F260" s="579" t="s">
        <v>78</v>
      </c>
      <c r="G260" s="580">
        <v>1400000</v>
      </c>
      <c r="H260" s="581" t="s">
        <v>2460</v>
      </c>
    </row>
    <row r="261" spans="1:8" ht="38.25" thickBot="1">
      <c r="A261" s="576">
        <v>6115</v>
      </c>
      <c r="B261" s="576" t="s">
        <v>37</v>
      </c>
      <c r="C261" s="577" t="s">
        <v>1092</v>
      </c>
      <c r="D261" s="576">
        <v>58</v>
      </c>
      <c r="E261" s="578" t="s">
        <v>1093</v>
      </c>
      <c r="F261" s="579" t="s">
        <v>78</v>
      </c>
      <c r="G261" s="580" t="s">
        <v>1094</v>
      </c>
      <c r="H261" s="581" t="s">
        <v>2460</v>
      </c>
    </row>
    <row r="262" spans="1:8" ht="38.25" thickBot="1">
      <c r="A262" s="576">
        <v>6115</v>
      </c>
      <c r="B262" s="576" t="s">
        <v>37</v>
      </c>
      <c r="C262" s="577" t="s">
        <v>1095</v>
      </c>
      <c r="D262" s="576">
        <v>58</v>
      </c>
      <c r="E262" s="578" t="s">
        <v>1096</v>
      </c>
      <c r="F262" s="579" t="s">
        <v>78</v>
      </c>
      <c r="G262" s="580">
        <v>1250000</v>
      </c>
      <c r="H262" s="581" t="s">
        <v>2460</v>
      </c>
    </row>
    <row r="263" spans="1:8" ht="19.5" thickBot="1">
      <c r="A263" s="576">
        <v>6115</v>
      </c>
      <c r="B263" s="576" t="s">
        <v>37</v>
      </c>
      <c r="C263" s="577" t="s">
        <v>1099</v>
      </c>
      <c r="D263" s="576">
        <v>55</v>
      </c>
      <c r="E263" s="578" t="s">
        <v>1100</v>
      </c>
      <c r="F263" s="579" t="s">
        <v>78</v>
      </c>
      <c r="G263" s="580">
        <v>23300</v>
      </c>
      <c r="H263" s="581" t="s">
        <v>2460</v>
      </c>
    </row>
    <row r="264" spans="1:8" ht="19.5" thickBot="1">
      <c r="A264" s="576">
        <v>6115</v>
      </c>
      <c r="B264" s="576" t="s">
        <v>37</v>
      </c>
      <c r="C264" s="577" t="s">
        <v>1107</v>
      </c>
      <c r="D264" s="576">
        <v>61</v>
      </c>
      <c r="E264" s="578" t="s">
        <v>787</v>
      </c>
      <c r="F264" s="579" t="s">
        <v>78</v>
      </c>
      <c r="G264" s="580">
        <v>52000</v>
      </c>
      <c r="H264" s="581" t="s">
        <v>2460</v>
      </c>
    </row>
    <row r="265" spans="1:8" ht="19.5" thickBot="1">
      <c r="A265" s="576">
        <v>6115</v>
      </c>
      <c r="B265" s="576" t="s">
        <v>37</v>
      </c>
      <c r="C265" s="577" t="s">
        <v>4271</v>
      </c>
      <c r="D265" s="576">
        <v>62</v>
      </c>
      <c r="E265" s="578" t="s">
        <v>1288</v>
      </c>
      <c r="F265" s="579" t="s">
        <v>78</v>
      </c>
      <c r="G265" s="580">
        <v>260000</v>
      </c>
      <c r="H265" s="581">
        <v>6115</v>
      </c>
    </row>
    <row r="266" spans="1:8" ht="19.5" thickBot="1">
      <c r="A266" s="576">
        <v>6115</v>
      </c>
      <c r="B266" s="576" t="s">
        <v>37</v>
      </c>
      <c r="C266" s="577" t="s">
        <v>1097</v>
      </c>
      <c r="D266" s="576">
        <v>54</v>
      </c>
      <c r="E266" s="578" t="s">
        <v>1098</v>
      </c>
      <c r="F266" s="579" t="s">
        <v>78</v>
      </c>
      <c r="G266" s="580">
        <v>408000</v>
      </c>
      <c r="H266" s="581" t="s">
        <v>2460</v>
      </c>
    </row>
    <row r="267" spans="1:8" ht="19.5" thickBot="1">
      <c r="A267" s="576">
        <v>6115</v>
      </c>
      <c r="B267" s="576" t="s">
        <v>37</v>
      </c>
      <c r="C267" s="577" t="s">
        <v>4270</v>
      </c>
      <c r="D267" s="576">
        <v>55</v>
      </c>
      <c r="E267" s="578" t="s">
        <v>1299</v>
      </c>
      <c r="F267" s="579" t="s">
        <v>78</v>
      </c>
      <c r="G267" s="580">
        <v>500000</v>
      </c>
      <c r="H267" s="581">
        <v>6115</v>
      </c>
    </row>
    <row r="268" spans="1:8" ht="19.5" thickBot="1">
      <c r="A268" s="576">
        <v>6115</v>
      </c>
      <c r="B268" s="576" t="s">
        <v>37</v>
      </c>
      <c r="C268" s="577" t="s">
        <v>1101</v>
      </c>
      <c r="D268" s="576">
        <v>53</v>
      </c>
      <c r="E268" s="578" t="s">
        <v>1102</v>
      </c>
      <c r="F268" s="579" t="s">
        <v>78</v>
      </c>
      <c r="G268" s="580">
        <v>2370000</v>
      </c>
      <c r="H268" s="581" t="s">
        <v>2460</v>
      </c>
    </row>
    <row r="269" spans="1:8" ht="19.5" thickBot="1">
      <c r="A269" s="576">
        <v>6115</v>
      </c>
      <c r="B269" s="576" t="s">
        <v>37</v>
      </c>
      <c r="C269" s="577" t="s">
        <v>1103</v>
      </c>
      <c r="D269" s="576">
        <v>53</v>
      </c>
      <c r="E269" s="578" t="s">
        <v>1104</v>
      </c>
      <c r="F269" s="579" t="s">
        <v>78</v>
      </c>
      <c r="G269" s="580">
        <v>3350000</v>
      </c>
      <c r="H269" s="581" t="s">
        <v>2460</v>
      </c>
    </row>
    <row r="270" spans="1:8" ht="19.5" thickBot="1">
      <c r="A270" s="576">
        <v>6115</v>
      </c>
      <c r="B270" s="576" t="s">
        <v>37</v>
      </c>
      <c r="C270" s="577" t="s">
        <v>1108</v>
      </c>
      <c r="D270" s="576">
        <v>59</v>
      </c>
      <c r="E270" s="578" t="s">
        <v>1109</v>
      </c>
      <c r="F270" s="579" t="s">
        <v>78</v>
      </c>
      <c r="G270" s="580">
        <v>8000000</v>
      </c>
      <c r="H270" s="581" t="s">
        <v>2460</v>
      </c>
    </row>
    <row r="271" spans="1:8" ht="24.75" customHeight="1" thickBot="1">
      <c r="A271" s="576">
        <v>6115</v>
      </c>
      <c r="B271" s="576" t="s">
        <v>37</v>
      </c>
      <c r="C271" s="577" t="s">
        <v>1115</v>
      </c>
      <c r="D271" s="576">
        <v>60</v>
      </c>
      <c r="E271" s="578" t="s">
        <v>1116</v>
      </c>
      <c r="F271" s="579" t="s">
        <v>78</v>
      </c>
      <c r="G271" s="580">
        <v>20000</v>
      </c>
      <c r="H271" s="581" t="s">
        <v>2460</v>
      </c>
    </row>
    <row r="272" spans="1:8" ht="24.75" customHeight="1" thickBot="1">
      <c r="A272" s="576">
        <v>6125</v>
      </c>
      <c r="B272" s="576" t="s">
        <v>372</v>
      </c>
      <c r="C272" s="577" t="s">
        <v>1120</v>
      </c>
      <c r="D272" s="576">
        <v>54</v>
      </c>
      <c r="E272" s="578" t="s">
        <v>1121</v>
      </c>
      <c r="F272" s="579" t="s">
        <v>78</v>
      </c>
      <c r="G272" s="580">
        <v>125000</v>
      </c>
      <c r="H272" s="581" t="s">
        <v>2462</v>
      </c>
    </row>
    <row r="273" spans="1:8" ht="19.5" thickBot="1">
      <c r="A273" s="576">
        <v>6125</v>
      </c>
      <c r="B273" s="576" t="s">
        <v>372</v>
      </c>
      <c r="C273" s="577" t="s">
        <v>1125</v>
      </c>
      <c r="D273" s="576">
        <v>54</v>
      </c>
      <c r="E273" s="578" t="s">
        <v>1126</v>
      </c>
      <c r="F273" s="579" t="s">
        <v>78</v>
      </c>
      <c r="G273" s="580">
        <v>72000</v>
      </c>
      <c r="H273" s="581" t="s">
        <v>2462</v>
      </c>
    </row>
    <row r="274" spans="1:8" ht="19.5" thickBot="1">
      <c r="A274" s="576">
        <v>6125</v>
      </c>
      <c r="B274" s="576" t="s">
        <v>37</v>
      </c>
      <c r="C274" s="577" t="s">
        <v>1127</v>
      </c>
      <c r="D274" s="576">
        <v>61</v>
      </c>
      <c r="E274" s="578" t="s">
        <v>1128</v>
      </c>
      <c r="F274" s="579" t="s">
        <v>78</v>
      </c>
      <c r="G274" s="580">
        <v>1150000</v>
      </c>
      <c r="H274" s="581" t="s">
        <v>2462</v>
      </c>
    </row>
    <row r="275" spans="1:8" ht="19.5" thickBot="1">
      <c r="A275" s="576">
        <v>6125</v>
      </c>
      <c r="B275" s="576" t="s">
        <v>37</v>
      </c>
      <c r="C275" s="577" t="s">
        <v>1129</v>
      </c>
      <c r="D275" s="576">
        <v>61</v>
      </c>
      <c r="E275" s="578" t="s">
        <v>1130</v>
      </c>
      <c r="F275" s="579" t="s">
        <v>78</v>
      </c>
      <c r="G275" s="580">
        <v>850000</v>
      </c>
      <c r="H275" s="581" t="s">
        <v>2462</v>
      </c>
    </row>
    <row r="276" spans="1:8" ht="24" customHeight="1" thickBot="1">
      <c r="A276" s="576">
        <v>6125</v>
      </c>
      <c r="B276" s="576" t="s">
        <v>372</v>
      </c>
      <c r="C276" s="577" t="s">
        <v>1131</v>
      </c>
      <c r="D276" s="576">
        <v>53</v>
      </c>
      <c r="E276" s="578" t="s">
        <v>1132</v>
      </c>
      <c r="F276" s="579" t="s">
        <v>78</v>
      </c>
      <c r="G276" s="580">
        <v>250000</v>
      </c>
      <c r="H276" s="581" t="s">
        <v>2462</v>
      </c>
    </row>
    <row r="277" spans="1:8" ht="24" customHeight="1" thickBot="1">
      <c r="A277" s="576">
        <v>6125</v>
      </c>
      <c r="B277" s="576" t="s">
        <v>372</v>
      </c>
      <c r="C277" s="577" t="s">
        <v>1133</v>
      </c>
      <c r="D277" s="576">
        <v>53</v>
      </c>
      <c r="E277" s="578" t="s">
        <v>1134</v>
      </c>
      <c r="F277" s="579" t="s">
        <v>78</v>
      </c>
      <c r="G277" s="580">
        <v>80000</v>
      </c>
      <c r="H277" s="581" t="s">
        <v>2462</v>
      </c>
    </row>
    <row r="278" spans="1:8" ht="19.5" thickBot="1">
      <c r="A278" s="576">
        <v>6125</v>
      </c>
      <c r="B278" s="576" t="s">
        <v>37</v>
      </c>
      <c r="C278" s="577" t="s">
        <v>1135</v>
      </c>
      <c r="D278" s="576">
        <v>55</v>
      </c>
      <c r="E278" s="578" t="s">
        <v>1136</v>
      </c>
      <c r="F278" s="579" t="s">
        <v>78</v>
      </c>
      <c r="G278" s="580">
        <v>1800000</v>
      </c>
      <c r="H278" s="581" t="s">
        <v>2462</v>
      </c>
    </row>
    <row r="279" spans="1:8" ht="19.5" thickBot="1">
      <c r="A279" s="576">
        <v>6125</v>
      </c>
      <c r="B279" s="576" t="s">
        <v>37</v>
      </c>
      <c r="C279" s="577" t="s">
        <v>1137</v>
      </c>
      <c r="D279" s="576">
        <v>55</v>
      </c>
      <c r="E279" s="578" t="s">
        <v>1138</v>
      </c>
      <c r="F279" s="579" t="s">
        <v>78</v>
      </c>
      <c r="G279" s="580">
        <v>2500000</v>
      </c>
      <c r="H279" s="581" t="s">
        <v>2462</v>
      </c>
    </row>
    <row r="280" spans="1:8" ht="19.5" thickBot="1">
      <c r="A280" s="576">
        <v>6130</v>
      </c>
      <c r="B280" s="576" t="s">
        <v>157</v>
      </c>
      <c r="C280" s="577" t="s">
        <v>1139</v>
      </c>
      <c r="D280" s="576">
        <v>56</v>
      </c>
      <c r="E280" s="578" t="s">
        <v>1140</v>
      </c>
      <c r="F280" s="579" t="s">
        <v>78</v>
      </c>
      <c r="G280" s="580">
        <v>9500</v>
      </c>
      <c r="H280" s="581" t="s">
        <v>2464</v>
      </c>
    </row>
    <row r="281" spans="1:8" ht="19.5" thickBot="1">
      <c r="A281" s="576">
        <v>6130</v>
      </c>
      <c r="B281" s="576" t="s">
        <v>157</v>
      </c>
      <c r="C281" s="577" t="s">
        <v>1141</v>
      </c>
      <c r="D281" s="576">
        <v>54</v>
      </c>
      <c r="E281" s="578" t="s">
        <v>1142</v>
      </c>
      <c r="F281" s="579" t="s">
        <v>78</v>
      </c>
      <c r="G281" s="580">
        <v>12500</v>
      </c>
      <c r="H281" s="581" t="s">
        <v>2464</v>
      </c>
    </row>
    <row r="282" spans="1:8" ht="19.5" thickBot="1">
      <c r="A282" s="576">
        <v>6130</v>
      </c>
      <c r="B282" s="576" t="s">
        <v>372</v>
      </c>
      <c r="C282" s="577" t="s">
        <v>1143</v>
      </c>
      <c r="D282" s="576">
        <v>56</v>
      </c>
      <c r="E282" s="578" t="s">
        <v>1144</v>
      </c>
      <c r="F282" s="579" t="s">
        <v>78</v>
      </c>
      <c r="G282" s="580">
        <v>27200</v>
      </c>
      <c r="H282" s="581" t="s">
        <v>2464</v>
      </c>
    </row>
    <row r="283" spans="1:8" ht="19.5" thickBot="1">
      <c r="A283" s="576">
        <v>6130</v>
      </c>
      <c r="B283" s="576" t="s">
        <v>372</v>
      </c>
      <c r="C283" s="577" t="s">
        <v>1145</v>
      </c>
      <c r="D283" s="576">
        <v>56</v>
      </c>
      <c r="E283" s="578" t="s">
        <v>1146</v>
      </c>
      <c r="F283" s="579" t="s">
        <v>78</v>
      </c>
      <c r="G283" s="580">
        <v>13500</v>
      </c>
      <c r="H283" s="581" t="s">
        <v>2464</v>
      </c>
    </row>
    <row r="284" spans="1:8" ht="19.5" thickBot="1">
      <c r="A284" s="576">
        <v>6150</v>
      </c>
      <c r="B284" s="576" t="s">
        <v>37</v>
      </c>
      <c r="C284" s="577" t="s">
        <v>1149</v>
      </c>
      <c r="D284" s="576">
        <v>58</v>
      </c>
      <c r="E284" s="578" t="s">
        <v>1150</v>
      </c>
      <c r="F284" s="579" t="s">
        <v>53</v>
      </c>
      <c r="G284" s="580">
        <v>390000</v>
      </c>
      <c r="H284" s="581" t="s">
        <v>2465</v>
      </c>
    </row>
    <row r="285" spans="1:8" ht="19.5" thickBot="1">
      <c r="A285" s="576">
        <v>6150</v>
      </c>
      <c r="B285" s="576" t="s">
        <v>37</v>
      </c>
      <c r="C285" s="577" t="s">
        <v>4194</v>
      </c>
      <c r="D285" s="576">
        <v>58</v>
      </c>
      <c r="E285" s="578" t="s">
        <v>4250</v>
      </c>
      <c r="F285" s="579" t="s">
        <v>53</v>
      </c>
      <c r="G285" s="580">
        <v>390000</v>
      </c>
      <c r="H285" s="581" t="s">
        <v>2465</v>
      </c>
    </row>
    <row r="286" spans="1:8" ht="19.5" thickBot="1">
      <c r="A286" s="576">
        <v>6150</v>
      </c>
      <c r="B286" s="576" t="s">
        <v>37</v>
      </c>
      <c r="C286" s="577" t="s">
        <v>1151</v>
      </c>
      <c r="D286" s="576">
        <v>55</v>
      </c>
      <c r="E286" s="578" t="s">
        <v>1152</v>
      </c>
      <c r="F286" s="579" t="s">
        <v>78</v>
      </c>
      <c r="G286" s="580">
        <v>42000</v>
      </c>
      <c r="H286" s="581" t="s">
        <v>2465</v>
      </c>
    </row>
    <row r="287" spans="1:8" ht="19.5" thickBot="1">
      <c r="A287" s="602" t="s">
        <v>4137</v>
      </c>
      <c r="B287" s="603"/>
      <c r="C287" s="603"/>
      <c r="D287" s="603"/>
      <c r="E287" s="603"/>
      <c r="F287" s="603"/>
      <c r="G287" s="603"/>
      <c r="H287" s="604"/>
    </row>
    <row r="288" spans="1:8" ht="19.5" thickBot="1">
      <c r="A288" s="576">
        <v>6210</v>
      </c>
      <c r="B288" s="576" t="s">
        <v>37</v>
      </c>
      <c r="C288" s="577" t="s">
        <v>1153</v>
      </c>
      <c r="D288" s="576">
        <v>58</v>
      </c>
      <c r="E288" s="578" t="s">
        <v>1154</v>
      </c>
      <c r="F288" s="579" t="s">
        <v>53</v>
      </c>
      <c r="G288" s="580">
        <v>25000</v>
      </c>
      <c r="H288" s="581" t="s">
        <v>2466</v>
      </c>
    </row>
    <row r="289" spans="1:8" ht="19.5" thickBot="1">
      <c r="A289" s="576">
        <v>6210</v>
      </c>
      <c r="B289" s="576" t="s">
        <v>37</v>
      </c>
      <c r="C289" s="577" t="s">
        <v>1155</v>
      </c>
      <c r="D289" s="576">
        <v>58</v>
      </c>
      <c r="E289" s="578" t="s">
        <v>1156</v>
      </c>
      <c r="F289" s="579" t="s">
        <v>53</v>
      </c>
      <c r="G289" s="580">
        <v>25000</v>
      </c>
      <c r="H289" s="581" t="s">
        <v>2466</v>
      </c>
    </row>
    <row r="290" spans="1:8" ht="19.5" thickBot="1">
      <c r="A290" s="576">
        <v>6210</v>
      </c>
      <c r="B290" s="576" t="s">
        <v>37</v>
      </c>
      <c r="C290" s="577" t="s">
        <v>4178</v>
      </c>
      <c r="D290" s="576">
        <v>62</v>
      </c>
      <c r="E290" s="578" t="s">
        <v>4176</v>
      </c>
      <c r="F290" s="579" t="s">
        <v>53</v>
      </c>
      <c r="G290" s="580">
        <v>450000</v>
      </c>
      <c r="H290" s="581" t="s">
        <v>2466</v>
      </c>
    </row>
    <row r="291" spans="1:8" ht="19.5" thickBot="1">
      <c r="A291" s="576">
        <v>6210</v>
      </c>
      <c r="B291" s="576" t="s">
        <v>37</v>
      </c>
      <c r="C291" s="577" t="s">
        <v>4179</v>
      </c>
      <c r="D291" s="576">
        <v>62</v>
      </c>
      <c r="E291" s="578" t="s">
        <v>4177</v>
      </c>
      <c r="F291" s="579" t="s">
        <v>53</v>
      </c>
      <c r="G291" s="580">
        <v>1500000</v>
      </c>
      <c r="H291" s="581" t="s">
        <v>2466</v>
      </c>
    </row>
    <row r="292" spans="1:8" ht="19.5" thickBot="1">
      <c r="A292" s="576">
        <v>6230</v>
      </c>
      <c r="B292" s="576" t="s">
        <v>37</v>
      </c>
      <c r="C292" s="577" t="s">
        <v>1162</v>
      </c>
      <c r="D292" s="576">
        <v>60</v>
      </c>
      <c r="E292" s="578" t="s">
        <v>1163</v>
      </c>
      <c r="F292" s="579" t="s">
        <v>78</v>
      </c>
      <c r="G292" s="580">
        <v>380000</v>
      </c>
      <c r="H292" s="581" t="s">
        <v>2467</v>
      </c>
    </row>
    <row r="293" spans="1:8" ht="19.5" thickBot="1">
      <c r="A293" s="576">
        <v>6230</v>
      </c>
      <c r="B293" s="576" t="s">
        <v>37</v>
      </c>
      <c r="C293" s="577" t="s">
        <v>1164</v>
      </c>
      <c r="D293" s="576">
        <v>60</v>
      </c>
      <c r="E293" s="578" t="s">
        <v>1165</v>
      </c>
      <c r="F293" s="579" t="s">
        <v>78</v>
      </c>
      <c r="G293" s="580">
        <v>428000</v>
      </c>
      <c r="H293" s="581" t="s">
        <v>2467</v>
      </c>
    </row>
    <row r="294" spans="1:8" ht="19.5" thickBot="1">
      <c r="A294" s="602" t="s">
        <v>4138</v>
      </c>
      <c r="B294" s="603"/>
      <c r="C294" s="603"/>
      <c r="D294" s="603"/>
      <c r="E294" s="603"/>
      <c r="F294" s="603"/>
      <c r="G294" s="603"/>
      <c r="H294" s="604"/>
    </row>
    <row r="295" spans="1:8" ht="19.5" thickBot="1">
      <c r="A295" s="576">
        <v>6625</v>
      </c>
      <c r="B295" s="576" t="s">
        <v>37</v>
      </c>
      <c r="C295" s="577" t="s">
        <v>1168</v>
      </c>
      <c r="D295" s="576">
        <v>57</v>
      </c>
      <c r="E295" s="578" t="s">
        <v>1169</v>
      </c>
      <c r="F295" s="579" t="s">
        <v>78</v>
      </c>
      <c r="G295" s="580">
        <v>300000</v>
      </c>
      <c r="H295" s="581" t="s">
        <v>2475</v>
      </c>
    </row>
    <row r="296" spans="1:8" ht="19.5" thickBot="1">
      <c r="A296" s="576">
        <v>6630</v>
      </c>
      <c r="B296" s="576" t="s">
        <v>256</v>
      </c>
      <c r="C296" s="577" t="s">
        <v>1170</v>
      </c>
      <c r="D296" s="576">
        <v>54</v>
      </c>
      <c r="E296" s="578" t="s">
        <v>1171</v>
      </c>
      <c r="F296" s="579" t="s">
        <v>78</v>
      </c>
      <c r="G296" s="580">
        <v>20000</v>
      </c>
      <c r="H296" s="581" t="s">
        <v>2478</v>
      </c>
    </row>
    <row r="297" spans="1:8" ht="19.5" thickBot="1">
      <c r="A297" s="576">
        <v>6630</v>
      </c>
      <c r="B297" s="576" t="s">
        <v>256</v>
      </c>
      <c r="C297" s="577" t="s">
        <v>4174</v>
      </c>
      <c r="D297" s="576">
        <v>62</v>
      </c>
      <c r="E297" s="578" t="s">
        <v>4175</v>
      </c>
      <c r="F297" s="579" t="s">
        <v>78</v>
      </c>
      <c r="G297" s="580">
        <v>5000</v>
      </c>
      <c r="H297" s="581" t="s">
        <v>2478</v>
      </c>
    </row>
    <row r="298" spans="1:8" ht="24" customHeight="1" thickBot="1">
      <c r="A298" s="576">
        <v>6630</v>
      </c>
      <c r="B298" s="576" t="s">
        <v>256</v>
      </c>
      <c r="C298" s="577" t="s">
        <v>1174</v>
      </c>
      <c r="D298" s="576">
        <v>54</v>
      </c>
      <c r="E298" s="578" t="s">
        <v>1175</v>
      </c>
      <c r="F298" s="579" t="s">
        <v>78</v>
      </c>
      <c r="G298" s="580">
        <v>35000</v>
      </c>
      <c r="H298" s="581" t="s">
        <v>2478</v>
      </c>
    </row>
    <row r="299" spans="1:8" ht="38.25" thickBot="1">
      <c r="A299" s="576">
        <v>6635</v>
      </c>
      <c r="B299" s="576" t="s">
        <v>372</v>
      </c>
      <c r="C299" s="577" t="s">
        <v>1176</v>
      </c>
      <c r="D299" s="576">
        <v>60</v>
      </c>
      <c r="E299" s="578" t="s">
        <v>1177</v>
      </c>
      <c r="F299" s="579" t="s">
        <v>78</v>
      </c>
      <c r="G299" s="580">
        <v>130000</v>
      </c>
      <c r="H299" s="581" t="s">
        <v>2479</v>
      </c>
    </row>
    <row r="300" spans="1:8" ht="19.5" thickBot="1">
      <c r="A300" s="576">
        <v>6635</v>
      </c>
      <c r="B300" s="576" t="s">
        <v>372</v>
      </c>
      <c r="C300" s="577" t="s">
        <v>1179</v>
      </c>
      <c r="D300" s="576">
        <v>60</v>
      </c>
      <c r="E300" s="578" t="s">
        <v>817</v>
      </c>
      <c r="F300" s="579" t="s">
        <v>78</v>
      </c>
      <c r="G300" s="580">
        <v>1350000</v>
      </c>
      <c r="H300" s="581" t="s">
        <v>2479</v>
      </c>
    </row>
    <row r="301" spans="1:8" ht="19.5" thickBot="1">
      <c r="A301" s="576">
        <v>6635</v>
      </c>
      <c r="B301" s="576" t="s">
        <v>372</v>
      </c>
      <c r="C301" s="577" t="s">
        <v>1181</v>
      </c>
      <c r="D301" s="576">
        <v>61</v>
      </c>
      <c r="E301" s="578" t="s">
        <v>1182</v>
      </c>
      <c r="F301" s="579" t="s">
        <v>78</v>
      </c>
      <c r="G301" s="580">
        <v>990000</v>
      </c>
      <c r="H301" s="581" t="s">
        <v>2479</v>
      </c>
    </row>
    <row r="302" spans="1:8" ht="38.25" thickBot="1">
      <c r="A302" s="537" t="s">
        <v>10</v>
      </c>
      <c r="B302" s="537" t="s">
        <v>2</v>
      </c>
      <c r="C302" s="537" t="s">
        <v>3</v>
      </c>
      <c r="D302" s="537" t="s">
        <v>4</v>
      </c>
      <c r="E302" s="537" t="s">
        <v>2754</v>
      </c>
      <c r="F302" s="538" t="s">
        <v>3600</v>
      </c>
      <c r="G302" s="538" t="s">
        <v>7</v>
      </c>
      <c r="H302" s="538" t="s">
        <v>8</v>
      </c>
    </row>
    <row r="303" spans="1:8" ht="38.25" thickBot="1">
      <c r="A303" s="576">
        <v>6635</v>
      </c>
      <c r="B303" s="576" t="s">
        <v>372</v>
      </c>
      <c r="C303" s="577" t="s">
        <v>1183</v>
      </c>
      <c r="D303" s="576">
        <v>61</v>
      </c>
      <c r="E303" s="578" t="s">
        <v>1184</v>
      </c>
      <c r="F303" s="579" t="s">
        <v>53</v>
      </c>
      <c r="G303" s="580">
        <v>825000</v>
      </c>
      <c r="H303" s="581" t="s">
        <v>2479</v>
      </c>
    </row>
    <row r="304" spans="1:8" ht="19.5" thickBot="1">
      <c r="A304" s="576">
        <v>6635</v>
      </c>
      <c r="B304" s="576" t="s">
        <v>372</v>
      </c>
      <c r="C304" s="577" t="s">
        <v>1185</v>
      </c>
      <c r="D304" s="576">
        <v>60</v>
      </c>
      <c r="E304" s="578" t="s">
        <v>1186</v>
      </c>
      <c r="F304" s="579" t="s">
        <v>53</v>
      </c>
      <c r="G304" s="580">
        <v>160000</v>
      </c>
      <c r="H304" s="581" t="s">
        <v>2479</v>
      </c>
    </row>
    <row r="305" spans="1:8" ht="19.5" thickBot="1">
      <c r="A305" s="576">
        <v>6635</v>
      </c>
      <c r="B305" s="576" t="s">
        <v>372</v>
      </c>
      <c r="C305" s="577" t="s">
        <v>4287</v>
      </c>
      <c r="D305" s="576">
        <v>63</v>
      </c>
      <c r="E305" s="578" t="s">
        <v>4288</v>
      </c>
      <c r="F305" s="579" t="s">
        <v>53</v>
      </c>
      <c r="G305" s="580">
        <v>350000</v>
      </c>
      <c r="H305" s="581" t="s">
        <v>2479</v>
      </c>
    </row>
    <row r="306" spans="1:8" ht="19.5" thickBot="1">
      <c r="A306" s="576">
        <v>6635</v>
      </c>
      <c r="B306" s="576" t="s">
        <v>372</v>
      </c>
      <c r="C306" s="577" t="s">
        <v>1188</v>
      </c>
      <c r="D306" s="576">
        <v>60</v>
      </c>
      <c r="E306" s="578" t="s">
        <v>1189</v>
      </c>
      <c r="F306" s="579" t="s">
        <v>53</v>
      </c>
      <c r="G306" s="580">
        <v>1250000</v>
      </c>
      <c r="H306" s="581" t="s">
        <v>2479</v>
      </c>
    </row>
    <row r="307" spans="1:8" ht="38.25" thickBot="1">
      <c r="A307" s="576">
        <v>6635</v>
      </c>
      <c r="B307" s="576" t="s">
        <v>372</v>
      </c>
      <c r="C307" s="577" t="s">
        <v>1191</v>
      </c>
      <c r="D307" s="576">
        <v>56</v>
      </c>
      <c r="E307" s="578" t="s">
        <v>1192</v>
      </c>
      <c r="F307" s="579" t="s">
        <v>53</v>
      </c>
      <c r="G307" s="580">
        <v>150000</v>
      </c>
      <c r="H307" s="581" t="s">
        <v>2479</v>
      </c>
    </row>
    <row r="308" spans="1:8" ht="19.5" thickBot="1">
      <c r="A308" s="576">
        <v>6635</v>
      </c>
      <c r="B308" s="576" t="s">
        <v>372</v>
      </c>
      <c r="C308" s="577" t="s">
        <v>4173</v>
      </c>
      <c r="D308" s="576">
        <v>62</v>
      </c>
      <c r="E308" s="613" t="s">
        <v>4159</v>
      </c>
      <c r="F308" s="579" t="s">
        <v>53</v>
      </c>
      <c r="G308" s="580">
        <v>980000</v>
      </c>
      <c r="H308" s="579"/>
    </row>
    <row r="309" spans="1:8" ht="19.5" thickBot="1">
      <c r="A309" s="576">
        <v>6635</v>
      </c>
      <c r="B309" s="576" t="s">
        <v>372</v>
      </c>
      <c r="C309" s="577" t="s">
        <v>1206</v>
      </c>
      <c r="D309" s="576">
        <v>60</v>
      </c>
      <c r="E309" s="578" t="s">
        <v>1207</v>
      </c>
      <c r="F309" s="579" t="s">
        <v>53</v>
      </c>
      <c r="G309" s="580">
        <v>802500</v>
      </c>
      <c r="H309" s="581" t="s">
        <v>2479</v>
      </c>
    </row>
    <row r="310" spans="1:8" ht="19.5" thickBot="1">
      <c r="A310" s="576">
        <v>6635</v>
      </c>
      <c r="B310" s="576" t="s">
        <v>372</v>
      </c>
      <c r="C310" s="577" t="s">
        <v>1209</v>
      </c>
      <c r="D310" s="576">
        <v>60</v>
      </c>
      <c r="E310" s="578" t="s">
        <v>4115</v>
      </c>
      <c r="F310" s="579" t="s">
        <v>53</v>
      </c>
      <c r="G310" s="580">
        <v>100000</v>
      </c>
      <c r="H310" s="581" t="s">
        <v>2479</v>
      </c>
    </row>
    <row r="311" spans="1:8" ht="38.25" thickBot="1">
      <c r="A311" s="576">
        <v>6635</v>
      </c>
      <c r="B311" s="576" t="s">
        <v>372</v>
      </c>
      <c r="C311" s="577" t="s">
        <v>1212</v>
      </c>
      <c r="D311" s="576">
        <v>61</v>
      </c>
      <c r="E311" s="578" t="s">
        <v>824</v>
      </c>
      <c r="F311" s="579" t="s">
        <v>53</v>
      </c>
      <c r="G311" s="580">
        <v>1500000</v>
      </c>
      <c r="H311" s="581" t="s">
        <v>2479</v>
      </c>
    </row>
    <row r="312" spans="1:8" ht="19.5" thickBot="1">
      <c r="A312" s="576">
        <v>6635</v>
      </c>
      <c r="B312" s="576" t="s">
        <v>372</v>
      </c>
      <c r="C312" s="577" t="s">
        <v>1214</v>
      </c>
      <c r="D312" s="576">
        <v>60</v>
      </c>
      <c r="E312" s="578" t="s">
        <v>4251</v>
      </c>
      <c r="F312" s="579" t="s">
        <v>78</v>
      </c>
      <c r="G312" s="580">
        <v>150000</v>
      </c>
      <c r="H312" s="581" t="s">
        <v>2479</v>
      </c>
    </row>
    <row r="313" spans="1:8" ht="19.5" thickBot="1">
      <c r="A313" s="576">
        <v>6675</v>
      </c>
      <c r="B313" s="576" t="s">
        <v>372</v>
      </c>
      <c r="C313" s="577" t="s">
        <v>1217</v>
      </c>
      <c r="D313" s="576">
        <v>58</v>
      </c>
      <c r="E313" s="578" t="s">
        <v>1218</v>
      </c>
      <c r="F313" s="579" t="s">
        <v>78</v>
      </c>
      <c r="G313" s="580">
        <v>56000</v>
      </c>
      <c r="H313" s="581" t="s">
        <v>2482</v>
      </c>
    </row>
    <row r="314" spans="1:8" ht="19.5" thickBot="1">
      <c r="A314" s="576">
        <v>6675</v>
      </c>
      <c r="B314" s="576" t="s">
        <v>372</v>
      </c>
      <c r="C314" s="577" t="s">
        <v>4289</v>
      </c>
      <c r="D314" s="576">
        <v>63</v>
      </c>
      <c r="E314" s="578" t="s">
        <v>4290</v>
      </c>
      <c r="F314" s="579" t="s">
        <v>53</v>
      </c>
      <c r="G314" s="580">
        <v>19800000</v>
      </c>
      <c r="H314" s="581" t="s">
        <v>2482</v>
      </c>
    </row>
    <row r="315" spans="1:8" ht="38.25" thickBot="1">
      <c r="A315" s="576">
        <v>6675</v>
      </c>
      <c r="B315" s="576" t="s">
        <v>372</v>
      </c>
      <c r="C315" s="577" t="s">
        <v>1220</v>
      </c>
      <c r="D315" s="576">
        <v>59</v>
      </c>
      <c r="E315" s="578" t="s">
        <v>1221</v>
      </c>
      <c r="F315" s="579" t="s">
        <v>78</v>
      </c>
      <c r="G315" s="580">
        <v>23000</v>
      </c>
      <c r="H315" s="581" t="s">
        <v>2482</v>
      </c>
    </row>
    <row r="316" spans="1:8" ht="38.25" thickBot="1">
      <c r="A316" s="576">
        <v>6675</v>
      </c>
      <c r="B316" s="576" t="s">
        <v>372</v>
      </c>
      <c r="C316" s="577" t="s">
        <v>1223</v>
      </c>
      <c r="D316" s="576">
        <v>59</v>
      </c>
      <c r="E316" s="578" t="s">
        <v>1224</v>
      </c>
      <c r="F316" s="579" t="s">
        <v>78</v>
      </c>
      <c r="G316" s="580">
        <v>900000</v>
      </c>
      <c r="H316" s="581" t="s">
        <v>2482</v>
      </c>
    </row>
    <row r="317" spans="1:8" ht="19.5" thickBot="1">
      <c r="A317" s="576">
        <v>6675</v>
      </c>
      <c r="B317" s="576" t="s">
        <v>191</v>
      </c>
      <c r="C317" s="577" t="s">
        <v>1226</v>
      </c>
      <c r="D317" s="576">
        <v>60</v>
      </c>
      <c r="E317" s="578" t="s">
        <v>1227</v>
      </c>
      <c r="F317" s="579" t="s">
        <v>78</v>
      </c>
      <c r="G317" s="580">
        <v>755000</v>
      </c>
      <c r="H317" s="581" t="s">
        <v>2482</v>
      </c>
    </row>
    <row r="318" spans="1:8" ht="19.5" thickBot="1">
      <c r="A318" s="576">
        <v>6675</v>
      </c>
      <c r="B318" s="576" t="s">
        <v>372</v>
      </c>
      <c r="C318" s="577" t="s">
        <v>1230</v>
      </c>
      <c r="D318" s="576">
        <v>58</v>
      </c>
      <c r="E318" s="578" t="s">
        <v>1231</v>
      </c>
      <c r="F318" s="579" t="s">
        <v>53</v>
      </c>
      <c r="G318" s="580">
        <v>850000</v>
      </c>
      <c r="H318" s="581" t="s">
        <v>2482</v>
      </c>
    </row>
    <row r="319" spans="1:8" ht="19.5" thickBot="1">
      <c r="A319" s="576">
        <v>6675</v>
      </c>
      <c r="B319" s="576" t="s">
        <v>372</v>
      </c>
      <c r="C319" s="577" t="s">
        <v>1236</v>
      </c>
      <c r="D319" s="576">
        <v>60</v>
      </c>
      <c r="E319" s="578" t="s">
        <v>1237</v>
      </c>
      <c r="F319" s="579" t="s">
        <v>53</v>
      </c>
      <c r="G319" s="580">
        <v>650000</v>
      </c>
      <c r="H319" s="581" t="s">
        <v>2482</v>
      </c>
    </row>
    <row r="320" spans="1:8" ht="19.5" thickBot="1">
      <c r="A320" s="576">
        <v>6675</v>
      </c>
      <c r="B320" s="576" t="s">
        <v>372</v>
      </c>
      <c r="C320" s="577" t="s">
        <v>1238</v>
      </c>
      <c r="D320" s="576">
        <v>61</v>
      </c>
      <c r="E320" s="578" t="s">
        <v>1239</v>
      </c>
      <c r="F320" s="579" t="s">
        <v>78</v>
      </c>
      <c r="G320" s="580">
        <v>30000</v>
      </c>
      <c r="H320" s="581" t="s">
        <v>2482</v>
      </c>
    </row>
    <row r="321" spans="1:8" ht="19.5" thickBot="1">
      <c r="A321" s="576">
        <v>6675</v>
      </c>
      <c r="B321" s="576" t="s">
        <v>372</v>
      </c>
      <c r="C321" s="577" t="s">
        <v>1242</v>
      </c>
      <c r="D321" s="576">
        <v>61</v>
      </c>
      <c r="E321" s="578" t="s">
        <v>1243</v>
      </c>
      <c r="F321" s="579" t="s">
        <v>53</v>
      </c>
      <c r="G321" s="580">
        <v>250000</v>
      </c>
      <c r="H321" s="581" t="s">
        <v>2482</v>
      </c>
    </row>
    <row r="322" spans="1:8" ht="19.5" thickBot="1">
      <c r="A322" s="576">
        <v>6675</v>
      </c>
      <c r="B322" s="576" t="s">
        <v>372</v>
      </c>
      <c r="C322" s="577" t="s">
        <v>4252</v>
      </c>
      <c r="D322" s="576">
        <v>62</v>
      </c>
      <c r="E322" s="578" t="s">
        <v>1246</v>
      </c>
      <c r="F322" s="579" t="s">
        <v>53</v>
      </c>
      <c r="G322" s="580">
        <v>400000</v>
      </c>
      <c r="H322" s="581" t="s">
        <v>2482</v>
      </c>
    </row>
    <row r="323" spans="1:8" ht="19.5" thickBot="1">
      <c r="A323" s="576">
        <v>6680</v>
      </c>
      <c r="B323" s="576" t="s">
        <v>256</v>
      </c>
      <c r="C323" s="577" t="s">
        <v>1249</v>
      </c>
      <c r="D323" s="576">
        <v>54</v>
      </c>
      <c r="E323" s="578" t="s">
        <v>4162</v>
      </c>
      <c r="F323" s="579" t="s">
        <v>78</v>
      </c>
      <c r="G323" s="580">
        <v>47000</v>
      </c>
      <c r="H323" s="581" t="s">
        <v>2485</v>
      </c>
    </row>
    <row r="324" spans="1:8" ht="19.5" thickBot="1">
      <c r="A324" s="576">
        <v>6680</v>
      </c>
      <c r="B324" s="576" t="s">
        <v>157</v>
      </c>
      <c r="C324" s="577" t="s">
        <v>1251</v>
      </c>
      <c r="D324" s="576">
        <v>55</v>
      </c>
      <c r="E324" s="578" t="s">
        <v>1252</v>
      </c>
      <c r="F324" s="579" t="s">
        <v>53</v>
      </c>
      <c r="G324" s="580">
        <v>4500</v>
      </c>
      <c r="H324" s="581" t="s">
        <v>2485</v>
      </c>
    </row>
    <row r="325" spans="1:8" ht="19.5" thickBot="1">
      <c r="A325" s="576">
        <v>6685</v>
      </c>
      <c r="B325" s="576" t="s">
        <v>37</v>
      </c>
      <c r="C325" s="577" t="s">
        <v>1253</v>
      </c>
      <c r="D325" s="576">
        <v>58</v>
      </c>
      <c r="E325" s="578" t="s">
        <v>1254</v>
      </c>
      <c r="F325" s="579" t="s">
        <v>78</v>
      </c>
      <c r="G325" s="580">
        <v>225000</v>
      </c>
      <c r="H325" s="581" t="s">
        <v>2487</v>
      </c>
    </row>
    <row r="326" spans="1:8" ht="19.5" thickBot="1">
      <c r="A326" s="576">
        <v>6695</v>
      </c>
      <c r="B326" s="576" t="s">
        <v>157</v>
      </c>
      <c r="C326" s="577" t="s">
        <v>1255</v>
      </c>
      <c r="D326" s="576">
        <v>52</v>
      </c>
      <c r="E326" s="578" t="s">
        <v>1256</v>
      </c>
      <c r="F326" s="579" t="s">
        <v>78</v>
      </c>
      <c r="G326" s="580">
        <v>9500</v>
      </c>
      <c r="H326" s="581" t="s">
        <v>2489</v>
      </c>
    </row>
    <row r="327" spans="1:8" ht="19.5" thickBot="1">
      <c r="A327" s="602" t="s">
        <v>4139</v>
      </c>
      <c r="B327" s="603"/>
      <c r="C327" s="603"/>
      <c r="D327" s="603"/>
      <c r="E327" s="603"/>
      <c r="F327" s="603"/>
      <c r="G327" s="603"/>
      <c r="H327" s="604"/>
    </row>
    <row r="328" spans="1:8" ht="19.5" thickBot="1">
      <c r="A328" s="576">
        <v>6810</v>
      </c>
      <c r="B328" s="576" t="s">
        <v>683</v>
      </c>
      <c r="C328" s="577" t="s">
        <v>1257</v>
      </c>
      <c r="D328" s="576">
        <v>53</v>
      </c>
      <c r="E328" s="578" t="s">
        <v>1258</v>
      </c>
      <c r="F328" s="579" t="s">
        <v>1259</v>
      </c>
      <c r="G328" s="580">
        <v>6500</v>
      </c>
      <c r="H328" s="581" t="s">
        <v>2491</v>
      </c>
    </row>
    <row r="329" spans="1:8" ht="19.5" thickBot="1">
      <c r="A329" s="602" t="s">
        <v>4140</v>
      </c>
      <c r="B329" s="603"/>
      <c r="C329" s="603"/>
      <c r="D329" s="603"/>
      <c r="E329" s="603"/>
      <c r="F329" s="603"/>
      <c r="G329" s="603"/>
      <c r="H329" s="604"/>
    </row>
    <row r="330" spans="1:8" ht="19.5" thickBot="1">
      <c r="A330" s="576">
        <v>8415</v>
      </c>
      <c r="B330" s="576" t="s">
        <v>683</v>
      </c>
      <c r="C330" s="577" t="s">
        <v>1267</v>
      </c>
      <c r="D330" s="576">
        <v>61</v>
      </c>
      <c r="E330" s="578" t="s">
        <v>741</v>
      </c>
      <c r="F330" s="579" t="s">
        <v>53</v>
      </c>
      <c r="G330" s="580">
        <v>140000</v>
      </c>
      <c r="H330" s="581" t="s">
        <v>2508</v>
      </c>
    </row>
    <row r="331" spans="1:8" ht="19.5" thickBot="1">
      <c r="A331" s="576">
        <v>8415</v>
      </c>
      <c r="B331" s="576" t="s">
        <v>683</v>
      </c>
      <c r="C331" s="577" t="s">
        <v>1268</v>
      </c>
      <c r="D331" s="576">
        <v>61</v>
      </c>
      <c r="E331" s="578" t="s">
        <v>745</v>
      </c>
      <c r="F331" s="579" t="s">
        <v>53</v>
      </c>
      <c r="G331" s="580">
        <v>120000</v>
      </c>
      <c r="H331" s="581" t="s">
        <v>2508</v>
      </c>
    </row>
    <row r="332" spans="1:8" ht="19.5" thickBot="1">
      <c r="A332" s="576">
        <v>8415</v>
      </c>
      <c r="B332" s="576" t="s">
        <v>683</v>
      </c>
      <c r="C332" s="577" t="s">
        <v>4273</v>
      </c>
      <c r="D332" s="576">
        <v>52</v>
      </c>
      <c r="E332" s="578" t="s">
        <v>1270</v>
      </c>
      <c r="F332" s="579" t="s">
        <v>53</v>
      </c>
      <c r="G332" s="580">
        <v>35000</v>
      </c>
      <c r="H332" s="581" t="s">
        <v>2508</v>
      </c>
    </row>
    <row r="333" spans="1:8" ht="19.5" thickBot="1">
      <c r="A333" s="602" t="s">
        <v>4141</v>
      </c>
      <c r="B333" s="603"/>
      <c r="C333" s="603"/>
      <c r="D333" s="603"/>
      <c r="E333" s="603"/>
      <c r="F333" s="603"/>
      <c r="G333" s="603"/>
      <c r="H333" s="604"/>
    </row>
    <row r="334" spans="1:8" ht="19.5" thickBot="1">
      <c r="A334" s="576">
        <v>9999</v>
      </c>
      <c r="B334" s="576" t="s">
        <v>191</v>
      </c>
      <c r="C334" s="577" t="s">
        <v>1274</v>
      </c>
      <c r="D334" s="576">
        <v>54</v>
      </c>
      <c r="E334" s="578" t="s">
        <v>1275</v>
      </c>
      <c r="F334" s="579" t="s">
        <v>358</v>
      </c>
      <c r="G334" s="580">
        <v>45000</v>
      </c>
      <c r="H334" s="581" t="s">
        <v>1483</v>
      </c>
    </row>
    <row r="335" spans="1:8" ht="19.5" thickBot="1">
      <c r="A335" s="602" t="s">
        <v>4143</v>
      </c>
      <c r="B335" s="603"/>
      <c r="C335" s="603"/>
      <c r="D335" s="603"/>
      <c r="E335" s="603"/>
      <c r="F335" s="603"/>
      <c r="G335" s="603"/>
      <c r="H335" s="604"/>
    </row>
    <row r="336" spans="1:8" ht="19.5" thickBot="1">
      <c r="A336" s="576"/>
      <c r="B336" s="576" t="s">
        <v>25</v>
      </c>
      <c r="C336" s="577" t="s">
        <v>26</v>
      </c>
      <c r="D336" s="576"/>
      <c r="E336" s="578" t="s">
        <v>993</v>
      </c>
      <c r="F336" s="579" t="s">
        <v>48</v>
      </c>
      <c r="G336" s="580">
        <v>14800</v>
      </c>
      <c r="H336" s="581" t="s">
        <v>4158</v>
      </c>
    </row>
    <row r="337" spans="1:8" ht="38.25" thickBot="1">
      <c r="A337" s="537" t="s">
        <v>10</v>
      </c>
      <c r="B337" s="537" t="s">
        <v>2</v>
      </c>
      <c r="C337" s="537" t="s">
        <v>3</v>
      </c>
      <c r="D337" s="537" t="s">
        <v>4</v>
      </c>
      <c r="E337" s="537" t="s">
        <v>2754</v>
      </c>
      <c r="F337" s="538" t="s">
        <v>3600</v>
      </c>
      <c r="G337" s="538" t="s">
        <v>7</v>
      </c>
      <c r="H337" s="538" t="s">
        <v>8</v>
      </c>
    </row>
    <row r="338" spans="1:8" ht="19.5" thickBot="1">
      <c r="A338" s="576"/>
      <c r="B338" s="576" t="s">
        <v>25</v>
      </c>
      <c r="C338" s="577" t="s">
        <v>26</v>
      </c>
      <c r="D338" s="576"/>
      <c r="E338" s="578" t="s">
        <v>782</v>
      </c>
      <c r="F338" s="579" t="s">
        <v>78</v>
      </c>
      <c r="G338" s="580">
        <v>670000</v>
      </c>
      <c r="H338" s="581" t="s">
        <v>4158</v>
      </c>
    </row>
    <row r="339" spans="1:8" ht="19.5" thickBot="1">
      <c r="A339" s="576"/>
      <c r="B339" s="576" t="s">
        <v>25</v>
      </c>
      <c r="C339" s="577" t="s">
        <v>26</v>
      </c>
      <c r="D339" s="576"/>
      <c r="E339" s="578" t="s">
        <v>1086</v>
      </c>
      <c r="F339" s="579" t="s">
        <v>78</v>
      </c>
      <c r="G339" s="580">
        <v>150000</v>
      </c>
      <c r="H339" s="581" t="s">
        <v>4158</v>
      </c>
    </row>
    <row r="340" spans="1:8" ht="19.5" thickBot="1">
      <c r="A340" s="576"/>
      <c r="B340" s="576" t="s">
        <v>25</v>
      </c>
      <c r="C340" s="577" t="s">
        <v>26</v>
      </c>
      <c r="D340" s="576"/>
      <c r="E340" s="578" t="s">
        <v>1288</v>
      </c>
      <c r="F340" s="579" t="s">
        <v>78</v>
      </c>
      <c r="G340" s="580">
        <v>246000</v>
      </c>
      <c r="H340" s="581" t="s">
        <v>4158</v>
      </c>
    </row>
    <row r="341" spans="1:8" ht="19.5" thickBot="1">
      <c r="A341" s="576"/>
      <c r="B341" s="576" t="s">
        <v>25</v>
      </c>
      <c r="C341" s="577" t="s">
        <v>26</v>
      </c>
      <c r="D341" s="576"/>
      <c r="E341" s="578" t="s">
        <v>1290</v>
      </c>
      <c r="F341" s="579" t="s">
        <v>78</v>
      </c>
      <c r="G341" s="580">
        <v>1247000</v>
      </c>
      <c r="H341" s="581" t="s">
        <v>4158</v>
      </c>
    </row>
    <row r="342" spans="1:8" ht="19.5" thickBot="1">
      <c r="A342" s="576"/>
      <c r="B342" s="576" t="s">
        <v>25</v>
      </c>
      <c r="C342" s="577" t="s">
        <v>26</v>
      </c>
      <c r="D342" s="576"/>
      <c r="E342" s="578" t="s">
        <v>1098</v>
      </c>
      <c r="F342" s="579" t="s">
        <v>78</v>
      </c>
      <c r="G342" s="580">
        <v>385000</v>
      </c>
      <c r="H342" s="581" t="s">
        <v>4158</v>
      </c>
    </row>
    <row r="343" spans="1:8" ht="19.5" thickBot="1">
      <c r="A343" s="576"/>
      <c r="B343" s="576" t="s">
        <v>25</v>
      </c>
      <c r="C343" s="577" t="s">
        <v>26</v>
      </c>
      <c r="D343" s="576"/>
      <c r="E343" s="578" t="s">
        <v>1295</v>
      </c>
      <c r="F343" s="579" t="s">
        <v>78</v>
      </c>
      <c r="G343" s="580">
        <v>1700000</v>
      </c>
      <c r="H343" s="581" t="s">
        <v>4158</v>
      </c>
    </row>
    <row r="344" spans="1:8" ht="19.5" thickBot="1">
      <c r="A344" s="576"/>
      <c r="B344" s="576" t="s">
        <v>25</v>
      </c>
      <c r="C344" s="577" t="s">
        <v>26</v>
      </c>
      <c r="D344" s="576"/>
      <c r="E344" s="578" t="s">
        <v>1100</v>
      </c>
      <c r="F344" s="579" t="s">
        <v>78</v>
      </c>
      <c r="G344" s="580">
        <v>23300</v>
      </c>
      <c r="H344" s="581" t="s">
        <v>4158</v>
      </c>
    </row>
    <row r="345" spans="1:8" ht="19.5" thickBot="1">
      <c r="A345" s="576"/>
      <c r="B345" s="576" t="s">
        <v>25</v>
      </c>
      <c r="C345" s="577" t="s">
        <v>26</v>
      </c>
      <c r="D345" s="576"/>
      <c r="E345" s="578" t="s">
        <v>1102</v>
      </c>
      <c r="F345" s="579" t="s">
        <v>78</v>
      </c>
      <c r="G345" s="580">
        <v>2364000</v>
      </c>
      <c r="H345" s="581" t="s">
        <v>4158</v>
      </c>
    </row>
    <row r="346" spans="1:8" ht="19.5" thickBot="1">
      <c r="A346" s="576"/>
      <c r="B346" s="576" t="s">
        <v>25</v>
      </c>
      <c r="C346" s="577" t="s">
        <v>26</v>
      </c>
      <c r="D346" s="576"/>
      <c r="E346" s="578" t="s">
        <v>1104</v>
      </c>
      <c r="F346" s="579" t="s">
        <v>78</v>
      </c>
      <c r="G346" s="580">
        <v>3350000</v>
      </c>
      <c r="H346" s="581" t="s">
        <v>4158</v>
      </c>
    </row>
    <row r="347" spans="1:8" ht="19.5" thickBot="1">
      <c r="A347" s="576"/>
      <c r="B347" s="576" t="s">
        <v>25</v>
      </c>
      <c r="C347" s="577" t="s">
        <v>26</v>
      </c>
      <c r="D347" s="576"/>
      <c r="E347" s="578" t="s">
        <v>1299</v>
      </c>
      <c r="F347" s="579" t="s">
        <v>78</v>
      </c>
      <c r="G347" s="580">
        <v>500000</v>
      </c>
      <c r="H347" s="581" t="s">
        <v>4158</v>
      </c>
    </row>
    <row r="348" spans="1:8" ht="19.5" thickBot="1">
      <c r="A348" s="576"/>
      <c r="B348" s="576" t="s">
        <v>25</v>
      </c>
      <c r="C348" s="577" t="s">
        <v>26</v>
      </c>
      <c r="D348" s="576"/>
      <c r="E348" s="578" t="s">
        <v>787</v>
      </c>
      <c r="F348" s="579" t="s">
        <v>78</v>
      </c>
      <c r="G348" s="580">
        <v>57500</v>
      </c>
      <c r="H348" s="581" t="s">
        <v>4158</v>
      </c>
    </row>
    <row r="349" spans="1:8" ht="19.5" thickBot="1">
      <c r="A349" s="576"/>
      <c r="B349" s="576" t="s">
        <v>25</v>
      </c>
      <c r="C349" s="577" t="s">
        <v>26</v>
      </c>
      <c r="D349" s="576"/>
      <c r="E349" s="578" t="s">
        <v>1302</v>
      </c>
      <c r="F349" s="579" t="s">
        <v>78</v>
      </c>
      <c r="G349" s="580">
        <v>8300</v>
      </c>
      <c r="H349" s="581" t="s">
        <v>4158</v>
      </c>
    </row>
    <row r="350" spans="1:8" ht="19.5" thickBot="1">
      <c r="A350" s="576"/>
      <c r="B350" s="576" t="s">
        <v>25</v>
      </c>
      <c r="C350" s="577" t="s">
        <v>26</v>
      </c>
      <c r="D350" s="576"/>
      <c r="E350" s="578" t="s">
        <v>1304</v>
      </c>
      <c r="F350" s="579" t="s">
        <v>78</v>
      </c>
      <c r="G350" s="580">
        <v>9300</v>
      </c>
      <c r="H350" s="581" t="s">
        <v>4158</v>
      </c>
    </row>
    <row r="351" spans="1:8" ht="19.5" thickBot="1">
      <c r="A351" s="576"/>
      <c r="B351" s="576" t="s">
        <v>25</v>
      </c>
      <c r="C351" s="577" t="s">
        <v>26</v>
      </c>
      <c r="D351" s="576"/>
      <c r="E351" s="578" t="s">
        <v>1306</v>
      </c>
      <c r="F351" s="579" t="s">
        <v>78</v>
      </c>
      <c r="G351" s="580">
        <v>7600</v>
      </c>
      <c r="H351" s="581" t="s">
        <v>4158</v>
      </c>
    </row>
    <row r="352" spans="1:8" ht="19.5" thickBot="1">
      <c r="A352" s="576"/>
      <c r="B352" s="576" t="s">
        <v>25</v>
      </c>
      <c r="C352" s="577" t="s">
        <v>26</v>
      </c>
      <c r="D352" s="576"/>
      <c r="E352" s="578" t="s">
        <v>1310</v>
      </c>
      <c r="F352" s="579" t="s">
        <v>48</v>
      </c>
      <c r="G352" s="580">
        <v>5500</v>
      </c>
      <c r="H352" s="581" t="s">
        <v>4158</v>
      </c>
    </row>
    <row r="353" spans="1:8" ht="19.5" thickBot="1">
      <c r="A353" s="576"/>
      <c r="B353" s="576" t="s">
        <v>25</v>
      </c>
      <c r="C353" s="577" t="s">
        <v>26</v>
      </c>
      <c r="D353" s="576"/>
      <c r="E353" s="578" t="s">
        <v>1312</v>
      </c>
      <c r="F353" s="579" t="s">
        <v>48</v>
      </c>
      <c r="G353" s="580">
        <v>5800</v>
      </c>
      <c r="H353" s="581" t="s">
        <v>4158</v>
      </c>
    </row>
    <row r="354" spans="1:8" ht="19.5" thickBot="1">
      <c r="A354" s="576"/>
      <c r="B354" s="576" t="s">
        <v>25</v>
      </c>
      <c r="C354" s="577" t="s">
        <v>26</v>
      </c>
      <c r="D354" s="576"/>
      <c r="E354" s="578" t="s">
        <v>1313</v>
      </c>
      <c r="F354" s="579" t="s">
        <v>48</v>
      </c>
      <c r="G354" s="580">
        <v>6300</v>
      </c>
      <c r="H354" s="581" t="s">
        <v>4158</v>
      </c>
    </row>
    <row r="355" spans="1:8" ht="19.5" thickBot="1">
      <c r="A355" s="576"/>
      <c r="B355" s="576" t="s">
        <v>25</v>
      </c>
      <c r="C355" s="577" t="s">
        <v>26</v>
      </c>
      <c r="D355" s="576"/>
      <c r="E355" s="578" t="s">
        <v>1315</v>
      </c>
      <c r="F355" s="579" t="s">
        <v>48</v>
      </c>
      <c r="G355" s="580">
        <v>6500</v>
      </c>
      <c r="H355" s="581" t="s">
        <v>4158</v>
      </c>
    </row>
    <row r="356" spans="1:8" ht="19.5" thickBot="1">
      <c r="A356" s="576"/>
      <c r="B356" s="576" t="s">
        <v>25</v>
      </c>
      <c r="C356" s="577" t="s">
        <v>26</v>
      </c>
      <c r="D356" s="576"/>
      <c r="E356" s="578" t="s">
        <v>1105</v>
      </c>
      <c r="F356" s="579" t="s">
        <v>78</v>
      </c>
      <c r="G356" s="580">
        <v>23000</v>
      </c>
      <c r="H356" s="581" t="s">
        <v>4158</v>
      </c>
    </row>
    <row r="357" spans="1:8" ht="19.5" thickBot="1">
      <c r="A357" s="576"/>
      <c r="B357" s="576" t="s">
        <v>25</v>
      </c>
      <c r="C357" s="577" t="s">
        <v>26</v>
      </c>
      <c r="D357" s="576"/>
      <c r="E357" s="578" t="s">
        <v>1318</v>
      </c>
      <c r="F357" s="579" t="s">
        <v>78</v>
      </c>
      <c r="G357" s="580">
        <v>25900</v>
      </c>
      <c r="H357" s="581" t="s">
        <v>4158</v>
      </c>
    </row>
    <row r="358" spans="1:8" ht="19.5" thickBot="1">
      <c r="A358" s="576"/>
      <c r="B358" s="576" t="s">
        <v>25</v>
      </c>
      <c r="C358" s="577" t="s">
        <v>26</v>
      </c>
      <c r="D358" s="576"/>
      <c r="E358" s="578" t="s">
        <v>1106</v>
      </c>
      <c r="F358" s="579" t="s">
        <v>78</v>
      </c>
      <c r="G358" s="580">
        <v>28600</v>
      </c>
      <c r="H358" s="581" t="s">
        <v>4158</v>
      </c>
    </row>
    <row r="359" spans="1:8" ht="19.5" thickBot="1">
      <c r="A359" s="576"/>
      <c r="B359" s="576" t="s">
        <v>25</v>
      </c>
      <c r="C359" s="577" t="s">
        <v>26</v>
      </c>
      <c r="D359" s="576"/>
      <c r="E359" s="578" t="s">
        <v>1110</v>
      </c>
      <c r="F359" s="579" t="s">
        <v>78</v>
      </c>
      <c r="G359" s="580">
        <v>30600</v>
      </c>
      <c r="H359" s="581" t="s">
        <v>4158</v>
      </c>
    </row>
    <row r="360" spans="1:8" ht="19.5" thickBot="1">
      <c r="A360" s="576"/>
      <c r="B360" s="576" t="s">
        <v>25</v>
      </c>
      <c r="C360" s="577" t="s">
        <v>26</v>
      </c>
      <c r="D360" s="576"/>
      <c r="E360" s="578" t="s">
        <v>1113</v>
      </c>
      <c r="F360" s="579" t="s">
        <v>78</v>
      </c>
      <c r="G360" s="580">
        <v>32400</v>
      </c>
      <c r="H360" s="581" t="s">
        <v>4158</v>
      </c>
    </row>
    <row r="361" spans="1:8" ht="19.5" thickBot="1">
      <c r="A361" s="576"/>
      <c r="B361" s="576" t="s">
        <v>25</v>
      </c>
      <c r="C361" s="577" t="s">
        <v>26</v>
      </c>
      <c r="D361" s="576"/>
      <c r="E361" s="578" t="s">
        <v>1319</v>
      </c>
      <c r="F361" s="579" t="s">
        <v>78</v>
      </c>
      <c r="G361" s="580">
        <v>36000</v>
      </c>
      <c r="H361" s="581" t="s">
        <v>4158</v>
      </c>
    </row>
    <row r="362" spans="1:8" ht="19.5" thickBot="1">
      <c r="A362" s="576"/>
      <c r="B362" s="576" t="s">
        <v>25</v>
      </c>
      <c r="C362" s="577" t="s">
        <v>26</v>
      </c>
      <c r="D362" s="576"/>
      <c r="E362" s="578" t="s">
        <v>1114</v>
      </c>
      <c r="F362" s="579" t="s">
        <v>78</v>
      </c>
      <c r="G362" s="580">
        <v>40200</v>
      </c>
      <c r="H362" s="581" t="s">
        <v>4158</v>
      </c>
    </row>
    <row r="363" spans="1:8" ht="19.5" thickBot="1">
      <c r="A363" s="576"/>
      <c r="B363" s="576" t="s">
        <v>25</v>
      </c>
      <c r="C363" s="577" t="s">
        <v>26</v>
      </c>
      <c r="D363" s="576"/>
      <c r="E363" s="578" t="s">
        <v>4142</v>
      </c>
      <c r="F363" s="579" t="s">
        <v>78</v>
      </c>
      <c r="G363" s="580">
        <v>42300</v>
      </c>
      <c r="H363" s="581" t="s">
        <v>4158</v>
      </c>
    </row>
    <row r="364" spans="1:8" ht="19.5" thickBot="1">
      <c r="A364" s="576"/>
      <c r="B364" s="576" t="s">
        <v>25</v>
      </c>
      <c r="C364" s="577" t="s">
        <v>26</v>
      </c>
      <c r="D364" s="576"/>
      <c r="E364" s="578" t="s">
        <v>1117</v>
      </c>
      <c r="F364" s="579" t="s">
        <v>78</v>
      </c>
      <c r="G364" s="580">
        <v>47000</v>
      </c>
      <c r="H364" s="581" t="s">
        <v>4158</v>
      </c>
    </row>
    <row r="365" spans="1:8" ht="19.5" thickBot="1">
      <c r="A365" s="576"/>
      <c r="B365" s="576" t="s">
        <v>25</v>
      </c>
      <c r="C365" s="577" t="s">
        <v>26</v>
      </c>
      <c r="D365" s="576"/>
      <c r="E365" s="578" t="s">
        <v>4116</v>
      </c>
      <c r="F365" s="579" t="s">
        <v>78</v>
      </c>
      <c r="G365" s="580">
        <v>51200</v>
      </c>
      <c r="H365" s="581" t="s">
        <v>4158</v>
      </c>
    </row>
    <row r="366" spans="1:8" ht="38.25" thickBot="1">
      <c r="A366" s="537" t="s">
        <v>10</v>
      </c>
      <c r="B366" s="537" t="s">
        <v>2</v>
      </c>
      <c r="C366" s="537" t="s">
        <v>3</v>
      </c>
      <c r="D366" s="537" t="s">
        <v>4</v>
      </c>
      <c r="E366" s="537" t="s">
        <v>2754</v>
      </c>
      <c r="F366" s="538" t="s">
        <v>3600</v>
      </c>
      <c r="G366" s="538" t="s">
        <v>7</v>
      </c>
      <c r="H366" s="538" t="s">
        <v>8</v>
      </c>
    </row>
    <row r="367" spans="1:8" ht="19.5" thickBot="1">
      <c r="A367" s="576"/>
      <c r="B367" s="576" t="s">
        <v>25</v>
      </c>
      <c r="C367" s="577" t="s">
        <v>26</v>
      </c>
      <c r="D367" s="576"/>
      <c r="E367" s="578" t="s">
        <v>691</v>
      </c>
      <c r="F367" s="579" t="s">
        <v>78</v>
      </c>
      <c r="G367" s="580">
        <v>53300</v>
      </c>
      <c r="H367" s="581" t="s">
        <v>4158</v>
      </c>
    </row>
    <row r="368" spans="1:8" ht="19.5" thickBot="1">
      <c r="A368" s="576"/>
      <c r="B368" s="576" t="s">
        <v>25</v>
      </c>
      <c r="C368" s="577" t="s">
        <v>26</v>
      </c>
      <c r="D368" s="576"/>
      <c r="E368" s="578" t="s">
        <v>701</v>
      </c>
      <c r="F368" s="579" t="s">
        <v>78</v>
      </c>
      <c r="G368" s="580">
        <v>57000</v>
      </c>
      <c r="H368" s="581" t="s">
        <v>4158</v>
      </c>
    </row>
    <row r="369" spans="1:8" ht="38.25" thickBot="1">
      <c r="A369" s="576"/>
      <c r="B369" s="576" t="s">
        <v>25</v>
      </c>
      <c r="C369" s="577" t="s">
        <v>26</v>
      </c>
      <c r="D369" s="576"/>
      <c r="E369" s="578" t="s">
        <v>1321</v>
      </c>
      <c r="F369" s="579" t="s">
        <v>78</v>
      </c>
      <c r="G369" s="580">
        <v>30100</v>
      </c>
      <c r="H369" s="581" t="s">
        <v>4158</v>
      </c>
    </row>
    <row r="370" spans="1:8" ht="38.25" thickBot="1">
      <c r="A370" s="576"/>
      <c r="B370" s="576" t="s">
        <v>25</v>
      </c>
      <c r="C370" s="577" t="s">
        <v>26</v>
      </c>
      <c r="D370" s="576"/>
      <c r="E370" s="578" t="s">
        <v>1322</v>
      </c>
      <c r="F370" s="579" t="s">
        <v>78</v>
      </c>
      <c r="G370" s="580">
        <v>34800</v>
      </c>
      <c r="H370" s="581" t="s">
        <v>4158</v>
      </c>
    </row>
    <row r="371" spans="1:8" ht="38.25" thickBot="1">
      <c r="A371" s="576"/>
      <c r="B371" s="576" t="s">
        <v>25</v>
      </c>
      <c r="C371" s="577" t="s">
        <v>26</v>
      </c>
      <c r="D371" s="576"/>
      <c r="E371" s="578" t="s">
        <v>1324</v>
      </c>
      <c r="F371" s="579" t="s">
        <v>78</v>
      </c>
      <c r="G371" s="580">
        <v>41500</v>
      </c>
      <c r="H371" s="581" t="s">
        <v>4158</v>
      </c>
    </row>
    <row r="372" spans="1:8" ht="38.25" thickBot="1">
      <c r="A372" s="576"/>
      <c r="B372" s="576" t="s">
        <v>25</v>
      </c>
      <c r="C372" s="577" t="s">
        <v>26</v>
      </c>
      <c r="D372" s="576"/>
      <c r="E372" s="578" t="s">
        <v>1326</v>
      </c>
      <c r="F372" s="579" t="s">
        <v>78</v>
      </c>
      <c r="G372" s="580">
        <v>43400</v>
      </c>
      <c r="H372" s="581" t="s">
        <v>4158</v>
      </c>
    </row>
    <row r="373" spans="1:8" ht="38.25" thickBot="1">
      <c r="A373" s="576"/>
      <c r="B373" s="576" t="s">
        <v>25</v>
      </c>
      <c r="C373" s="577" t="s">
        <v>26</v>
      </c>
      <c r="D373" s="576"/>
      <c r="E373" s="578" t="s">
        <v>1328</v>
      </c>
      <c r="F373" s="579" t="s">
        <v>78</v>
      </c>
      <c r="G373" s="580">
        <v>48100</v>
      </c>
      <c r="H373" s="581" t="s">
        <v>4158</v>
      </c>
    </row>
    <row r="374" spans="1:8" ht="38.25" thickBot="1">
      <c r="A374" s="576"/>
      <c r="B374" s="576" t="s">
        <v>25</v>
      </c>
      <c r="C374" s="577" t="s">
        <v>26</v>
      </c>
      <c r="D374" s="576"/>
      <c r="E374" s="578" t="s">
        <v>1330</v>
      </c>
      <c r="F374" s="579" t="s">
        <v>78</v>
      </c>
      <c r="G374" s="580">
        <v>55400</v>
      </c>
      <c r="H374" s="581" t="s">
        <v>4158</v>
      </c>
    </row>
    <row r="375" spans="1:8" ht="38.25" thickBot="1">
      <c r="A375" s="576"/>
      <c r="B375" s="576" t="s">
        <v>25</v>
      </c>
      <c r="C375" s="577" t="s">
        <v>26</v>
      </c>
      <c r="D375" s="576"/>
      <c r="E375" s="578" t="s">
        <v>1332</v>
      </c>
      <c r="F375" s="579" t="s">
        <v>78</v>
      </c>
      <c r="G375" s="580">
        <v>62700</v>
      </c>
      <c r="H375" s="581" t="s">
        <v>4158</v>
      </c>
    </row>
    <row r="376" spans="1:8" ht="38.25" thickBot="1">
      <c r="A376" s="576"/>
      <c r="B376" s="576" t="s">
        <v>25</v>
      </c>
      <c r="C376" s="577" t="s">
        <v>26</v>
      </c>
      <c r="D376" s="576"/>
      <c r="E376" s="578" t="s">
        <v>1334</v>
      </c>
      <c r="F376" s="579" t="s">
        <v>78</v>
      </c>
      <c r="G376" s="580">
        <v>71000</v>
      </c>
      <c r="H376" s="581" t="s">
        <v>4158</v>
      </c>
    </row>
    <row r="377" spans="1:8" ht="19.5" thickBot="1">
      <c r="A377" s="576"/>
      <c r="B377" s="576" t="s">
        <v>25</v>
      </c>
      <c r="C377" s="577" t="s">
        <v>26</v>
      </c>
      <c r="D377" s="576"/>
      <c r="E377" s="578" t="s">
        <v>4147</v>
      </c>
      <c r="F377" s="579" t="s">
        <v>78</v>
      </c>
      <c r="G377" s="580">
        <v>17000</v>
      </c>
      <c r="H377" s="581" t="s">
        <v>4158</v>
      </c>
    </row>
    <row r="378" spans="1:8" ht="19.5" thickBot="1">
      <c r="A378" s="576"/>
      <c r="B378" s="576" t="s">
        <v>25</v>
      </c>
      <c r="C378" s="577" t="s">
        <v>26</v>
      </c>
      <c r="D378" s="576"/>
      <c r="E378" s="578" t="s">
        <v>4148</v>
      </c>
      <c r="F378" s="579" t="s">
        <v>78</v>
      </c>
      <c r="G378" s="580">
        <v>21000</v>
      </c>
      <c r="H378" s="581" t="s">
        <v>4158</v>
      </c>
    </row>
    <row r="379" spans="1:8" ht="19.5" thickBot="1">
      <c r="A379" s="576"/>
      <c r="B379" s="576" t="s">
        <v>25</v>
      </c>
      <c r="C379" s="577" t="s">
        <v>26</v>
      </c>
      <c r="D379" s="576"/>
      <c r="E379" s="578" t="s">
        <v>4149</v>
      </c>
      <c r="F379" s="579" t="s">
        <v>78</v>
      </c>
      <c r="G379" s="580">
        <v>20000</v>
      </c>
      <c r="H379" s="581" t="s">
        <v>4158</v>
      </c>
    </row>
    <row r="380" spans="1:8" ht="19.5" thickBot="1">
      <c r="A380" s="576"/>
      <c r="B380" s="576" t="s">
        <v>25</v>
      </c>
      <c r="C380" s="577" t="s">
        <v>26</v>
      </c>
      <c r="D380" s="576"/>
      <c r="E380" s="578" t="s">
        <v>4150</v>
      </c>
      <c r="F380" s="579" t="s">
        <v>78</v>
      </c>
      <c r="G380" s="580">
        <v>28000</v>
      </c>
      <c r="H380" s="581" t="s">
        <v>4158</v>
      </c>
    </row>
    <row r="381" spans="1:8" ht="19.5" thickBot="1">
      <c r="A381" s="576"/>
      <c r="B381" s="576" t="s">
        <v>25</v>
      </c>
      <c r="C381" s="577" t="s">
        <v>26</v>
      </c>
      <c r="D381" s="576"/>
      <c r="E381" s="578" t="s">
        <v>4151</v>
      </c>
      <c r="F381" s="579" t="s">
        <v>78</v>
      </c>
      <c r="G381" s="580">
        <v>24200</v>
      </c>
      <c r="H381" s="581" t="s">
        <v>4158</v>
      </c>
    </row>
    <row r="382" spans="1:8" ht="19.5" thickBot="1">
      <c r="A382" s="576"/>
      <c r="B382" s="576" t="s">
        <v>25</v>
      </c>
      <c r="C382" s="577" t="s">
        <v>26</v>
      </c>
      <c r="D382" s="576"/>
      <c r="E382" s="578" t="s">
        <v>4152</v>
      </c>
      <c r="F382" s="579" t="s">
        <v>78</v>
      </c>
      <c r="G382" s="580">
        <v>27400</v>
      </c>
      <c r="H382" s="581" t="s">
        <v>4158</v>
      </c>
    </row>
    <row r="383" spans="1:8" ht="19.5" thickBot="1">
      <c r="A383" s="576"/>
      <c r="B383" s="576" t="s">
        <v>25</v>
      </c>
      <c r="C383" s="577" t="s">
        <v>26</v>
      </c>
      <c r="D383" s="576"/>
      <c r="E383" s="578" t="s">
        <v>4153</v>
      </c>
      <c r="F383" s="579" t="s">
        <v>78</v>
      </c>
      <c r="G383" s="580">
        <v>29900</v>
      </c>
      <c r="H383" s="581" t="s">
        <v>4158</v>
      </c>
    </row>
    <row r="384" spans="1:8" ht="19.5" thickBot="1">
      <c r="A384" s="576"/>
      <c r="B384" s="576" t="s">
        <v>25</v>
      </c>
      <c r="C384" s="577" t="s">
        <v>26</v>
      </c>
      <c r="D384" s="576"/>
      <c r="E384" s="578" t="s">
        <v>4154</v>
      </c>
      <c r="F384" s="579" t="s">
        <v>78</v>
      </c>
      <c r="G384" s="580">
        <v>36400</v>
      </c>
      <c r="H384" s="581" t="s">
        <v>4158</v>
      </c>
    </row>
    <row r="385" spans="1:8" ht="19.5" thickBot="1">
      <c r="A385" s="576"/>
      <c r="B385" s="576" t="s">
        <v>25</v>
      </c>
      <c r="C385" s="577" t="s">
        <v>26</v>
      </c>
      <c r="D385" s="576"/>
      <c r="E385" s="578" t="s">
        <v>1342</v>
      </c>
      <c r="F385" s="579" t="s">
        <v>78</v>
      </c>
      <c r="G385" s="580">
        <v>58000</v>
      </c>
      <c r="H385" s="581" t="s">
        <v>4158</v>
      </c>
    </row>
    <row r="386" spans="1:8" ht="19.5" thickBot="1">
      <c r="A386" s="576"/>
      <c r="B386" s="576" t="s">
        <v>25</v>
      </c>
      <c r="C386" s="577" t="s">
        <v>26</v>
      </c>
      <c r="D386" s="576"/>
      <c r="E386" s="578" t="s">
        <v>1343</v>
      </c>
      <c r="F386" s="579" t="s">
        <v>78</v>
      </c>
      <c r="G386" s="580">
        <v>61000</v>
      </c>
      <c r="H386" s="581" t="s">
        <v>4158</v>
      </c>
    </row>
    <row r="387" spans="1:8" ht="19.5" thickBot="1">
      <c r="A387" s="576"/>
      <c r="B387" s="576" t="s">
        <v>25</v>
      </c>
      <c r="C387" s="577" t="s">
        <v>26</v>
      </c>
      <c r="D387" s="576"/>
      <c r="E387" s="578" t="s">
        <v>1345</v>
      </c>
      <c r="F387" s="579" t="s">
        <v>78</v>
      </c>
      <c r="G387" s="580">
        <v>54300</v>
      </c>
      <c r="H387" s="581" t="s">
        <v>4158</v>
      </c>
    </row>
    <row r="388" spans="1:8" ht="19.5" thickBot="1">
      <c r="A388" s="576"/>
      <c r="B388" s="576" t="s">
        <v>25</v>
      </c>
      <c r="C388" s="577" t="s">
        <v>26</v>
      </c>
      <c r="D388" s="576"/>
      <c r="E388" s="578" t="s">
        <v>1346</v>
      </c>
      <c r="F388" s="579" t="s">
        <v>78</v>
      </c>
      <c r="G388" s="580">
        <v>52000</v>
      </c>
      <c r="H388" s="581" t="s">
        <v>4158</v>
      </c>
    </row>
    <row r="389" spans="1:8" ht="19.5" thickBot="1">
      <c r="A389" s="576"/>
      <c r="B389" s="576" t="s">
        <v>25</v>
      </c>
      <c r="C389" s="577" t="s">
        <v>26</v>
      </c>
      <c r="D389" s="576"/>
      <c r="E389" s="578" t="s">
        <v>1347</v>
      </c>
      <c r="F389" s="579" t="s">
        <v>78</v>
      </c>
      <c r="G389" s="580">
        <v>18000</v>
      </c>
      <c r="H389" s="581" t="s">
        <v>4158</v>
      </c>
    </row>
    <row r="390" spans="1:8" ht="19.5" thickBot="1">
      <c r="A390" s="576"/>
      <c r="B390" s="576" t="s">
        <v>25</v>
      </c>
      <c r="C390" s="577" t="s">
        <v>26</v>
      </c>
      <c r="D390" s="576"/>
      <c r="E390" s="578" t="s">
        <v>1348</v>
      </c>
      <c r="F390" s="579" t="s">
        <v>78</v>
      </c>
      <c r="G390" s="580">
        <v>19000</v>
      </c>
      <c r="H390" s="581" t="s">
        <v>4158</v>
      </c>
    </row>
    <row r="391" spans="1:8" ht="19.5" thickBot="1">
      <c r="A391" s="576"/>
      <c r="B391" s="576" t="s">
        <v>25</v>
      </c>
      <c r="C391" s="577" t="s">
        <v>26</v>
      </c>
      <c r="D391" s="576"/>
      <c r="E391" s="578" t="s">
        <v>1351</v>
      </c>
      <c r="F391" s="579" t="s">
        <v>78</v>
      </c>
      <c r="G391" s="580">
        <v>17800</v>
      </c>
      <c r="H391" s="581" t="s">
        <v>4158</v>
      </c>
    </row>
    <row r="392" spans="1:8" ht="19.5" thickBot="1">
      <c r="A392" s="576"/>
      <c r="B392" s="576" t="s">
        <v>25</v>
      </c>
      <c r="C392" s="577" t="s">
        <v>26</v>
      </c>
      <c r="D392" s="576"/>
      <c r="E392" s="578" t="s">
        <v>1352</v>
      </c>
      <c r="F392" s="579" t="s">
        <v>78</v>
      </c>
      <c r="G392" s="580">
        <v>85000</v>
      </c>
      <c r="H392" s="581" t="s">
        <v>4158</v>
      </c>
    </row>
    <row r="393" spans="1:8" ht="19.5" thickBot="1">
      <c r="A393" s="576"/>
      <c r="B393" s="576" t="s">
        <v>25</v>
      </c>
      <c r="C393" s="577" t="s">
        <v>26</v>
      </c>
      <c r="D393" s="576"/>
      <c r="E393" s="578" t="s">
        <v>1353</v>
      </c>
      <c r="F393" s="579" t="s">
        <v>78</v>
      </c>
      <c r="G393" s="580">
        <v>45000</v>
      </c>
      <c r="H393" s="581" t="s">
        <v>4158</v>
      </c>
    </row>
    <row r="394" spans="1:8" ht="19.5" thickBot="1">
      <c r="A394" s="576"/>
      <c r="B394" s="576" t="s">
        <v>25</v>
      </c>
      <c r="C394" s="577" t="s">
        <v>26</v>
      </c>
      <c r="D394" s="576"/>
      <c r="E394" s="578" t="s">
        <v>1354</v>
      </c>
      <c r="F394" s="579" t="s">
        <v>78</v>
      </c>
      <c r="G394" s="580">
        <v>95000</v>
      </c>
      <c r="H394" s="581" t="s">
        <v>4158</v>
      </c>
    </row>
    <row r="395" spans="1:8" ht="38.25" thickBot="1">
      <c r="A395" s="537" t="s">
        <v>10</v>
      </c>
      <c r="B395" s="537" t="s">
        <v>2</v>
      </c>
      <c r="C395" s="537" t="s">
        <v>3</v>
      </c>
      <c r="D395" s="537" t="s">
        <v>4</v>
      </c>
      <c r="E395" s="537" t="s">
        <v>2754</v>
      </c>
      <c r="F395" s="538" t="s">
        <v>3600</v>
      </c>
      <c r="G395" s="538" t="s">
        <v>7</v>
      </c>
      <c r="H395" s="538" t="s">
        <v>8</v>
      </c>
    </row>
    <row r="396" spans="1:8" ht="38.25" thickBot="1">
      <c r="A396" s="576"/>
      <c r="B396" s="576" t="s">
        <v>25</v>
      </c>
      <c r="C396" s="577" t="s">
        <v>26</v>
      </c>
      <c r="D396" s="576"/>
      <c r="E396" s="578" t="s">
        <v>1355</v>
      </c>
      <c r="F396" s="579" t="s">
        <v>78</v>
      </c>
      <c r="G396" s="580">
        <v>13400</v>
      </c>
      <c r="H396" s="581" t="s">
        <v>4158</v>
      </c>
    </row>
    <row r="397" spans="1:8" ht="38.25" thickBot="1">
      <c r="A397" s="576"/>
      <c r="B397" s="576" t="s">
        <v>25</v>
      </c>
      <c r="C397" s="577" t="s">
        <v>26</v>
      </c>
      <c r="D397" s="576"/>
      <c r="E397" s="578" t="s">
        <v>1356</v>
      </c>
      <c r="F397" s="579" t="s">
        <v>78</v>
      </c>
      <c r="G397" s="580">
        <v>22500</v>
      </c>
      <c r="H397" s="581" t="s">
        <v>4158</v>
      </c>
    </row>
    <row r="398" spans="1:8" ht="19.5" thickBot="1">
      <c r="A398" s="576"/>
      <c r="B398" s="576" t="s">
        <v>25</v>
      </c>
      <c r="C398" s="577" t="s">
        <v>26</v>
      </c>
      <c r="D398" s="576"/>
      <c r="E398" s="578" t="s">
        <v>4166</v>
      </c>
      <c r="F398" s="579" t="s">
        <v>78</v>
      </c>
      <c r="G398" s="580">
        <v>9500</v>
      </c>
      <c r="H398" s="581" t="s">
        <v>4158</v>
      </c>
    </row>
    <row r="399" spans="1:8" ht="19.5" thickBot="1">
      <c r="A399" s="576"/>
      <c r="B399" s="576" t="s">
        <v>25</v>
      </c>
      <c r="C399" s="577" t="s">
        <v>26</v>
      </c>
      <c r="D399" s="576"/>
      <c r="E399" s="578" t="s">
        <v>4165</v>
      </c>
      <c r="F399" s="579" t="s">
        <v>78</v>
      </c>
      <c r="G399" s="580">
        <v>16000</v>
      </c>
      <c r="H399" s="581" t="s">
        <v>4158</v>
      </c>
    </row>
    <row r="400" spans="1:8" ht="19.5" thickBot="1">
      <c r="A400" s="576"/>
      <c r="B400" s="576" t="s">
        <v>25</v>
      </c>
      <c r="C400" s="577" t="s">
        <v>26</v>
      </c>
      <c r="D400" s="576"/>
      <c r="E400" s="578" t="s">
        <v>4164</v>
      </c>
      <c r="F400" s="579" t="s">
        <v>78</v>
      </c>
      <c r="G400" s="580">
        <v>20000</v>
      </c>
      <c r="H400" s="581" t="s">
        <v>4158</v>
      </c>
    </row>
    <row r="401" spans="1:8" ht="19.5" thickBot="1">
      <c r="A401" s="576"/>
      <c r="B401" s="576" t="s">
        <v>25</v>
      </c>
      <c r="C401" s="577" t="s">
        <v>26</v>
      </c>
      <c r="D401" s="576"/>
      <c r="E401" s="578" t="s">
        <v>4163</v>
      </c>
      <c r="F401" s="579" t="s">
        <v>78</v>
      </c>
      <c r="G401" s="580">
        <v>11000</v>
      </c>
      <c r="H401" s="581" t="s">
        <v>4158</v>
      </c>
    </row>
    <row r="402" spans="1:8" ht="19.5" thickBot="1">
      <c r="A402" s="576"/>
      <c r="B402" s="576" t="s">
        <v>25</v>
      </c>
      <c r="C402" s="577" t="s">
        <v>26</v>
      </c>
      <c r="D402" s="576"/>
      <c r="E402" s="578" t="s">
        <v>1362</v>
      </c>
      <c r="F402" s="579" t="s">
        <v>78</v>
      </c>
      <c r="G402" s="580">
        <v>11000</v>
      </c>
      <c r="H402" s="581" t="s">
        <v>4158</v>
      </c>
    </row>
    <row r="403" spans="1:8" ht="19.5" thickBot="1">
      <c r="A403" s="576"/>
      <c r="B403" s="576" t="s">
        <v>25</v>
      </c>
      <c r="C403" s="577" t="s">
        <v>26</v>
      </c>
      <c r="D403" s="576"/>
      <c r="E403" s="578" t="s">
        <v>1363</v>
      </c>
      <c r="F403" s="579" t="s">
        <v>78</v>
      </c>
      <c r="G403" s="580">
        <v>15000</v>
      </c>
      <c r="H403" s="581" t="s">
        <v>4158</v>
      </c>
    </row>
    <row r="404" spans="1:8" ht="19.5" thickBot="1">
      <c r="A404" s="576"/>
      <c r="B404" s="576" t="s">
        <v>25</v>
      </c>
      <c r="C404" s="577" t="s">
        <v>26</v>
      </c>
      <c r="D404" s="576"/>
      <c r="E404" s="578" t="s">
        <v>1364</v>
      </c>
      <c r="F404" s="579" t="s">
        <v>78</v>
      </c>
      <c r="G404" s="580">
        <v>27700</v>
      </c>
      <c r="H404" s="581" t="s">
        <v>4158</v>
      </c>
    </row>
    <row r="405" spans="1:8" ht="19.5" thickBot="1">
      <c r="A405" s="576"/>
      <c r="B405" s="576" t="s">
        <v>25</v>
      </c>
      <c r="C405" s="577" t="s">
        <v>26</v>
      </c>
      <c r="D405" s="576"/>
      <c r="E405" s="578" t="s">
        <v>1369</v>
      </c>
      <c r="F405" s="579" t="s">
        <v>28</v>
      </c>
      <c r="G405" s="580">
        <v>7500000</v>
      </c>
      <c r="H405" s="581" t="s">
        <v>4158</v>
      </c>
    </row>
    <row r="406" spans="1:8" ht="19.5" thickBot="1">
      <c r="A406" s="576"/>
      <c r="B406" s="576" t="s">
        <v>25</v>
      </c>
      <c r="C406" s="577" t="s">
        <v>26</v>
      </c>
      <c r="D406" s="576"/>
      <c r="E406" s="578" t="s">
        <v>1370</v>
      </c>
      <c r="F406" s="579" t="s">
        <v>28</v>
      </c>
      <c r="G406" s="580">
        <v>4000000</v>
      </c>
      <c r="H406" s="581" t="s">
        <v>4158</v>
      </c>
    </row>
    <row r="407" spans="1:8" ht="19.5" thickBot="1">
      <c r="A407" s="576"/>
      <c r="B407" s="576" t="s">
        <v>25</v>
      </c>
      <c r="C407" s="577" t="s">
        <v>26</v>
      </c>
      <c r="D407" s="576"/>
      <c r="E407" s="578" t="s">
        <v>1373</v>
      </c>
      <c r="F407" s="579" t="s">
        <v>28</v>
      </c>
      <c r="G407" s="580">
        <v>4500000</v>
      </c>
      <c r="H407" s="581" t="s">
        <v>4158</v>
      </c>
    </row>
    <row r="408" spans="1:8" ht="19.5" thickBot="1">
      <c r="A408" s="576"/>
      <c r="B408" s="576" t="s">
        <v>25</v>
      </c>
      <c r="C408" s="577" t="s">
        <v>26</v>
      </c>
      <c r="D408" s="576"/>
      <c r="E408" s="578" t="s">
        <v>1374</v>
      </c>
      <c r="F408" s="579" t="s">
        <v>28</v>
      </c>
      <c r="G408" s="580">
        <v>6800000</v>
      </c>
      <c r="H408" s="581" t="s">
        <v>4158</v>
      </c>
    </row>
    <row r="409" spans="1:8" ht="19.5" thickBot="1">
      <c r="A409" s="576"/>
      <c r="B409" s="576" t="s">
        <v>25</v>
      </c>
      <c r="C409" s="577" t="s">
        <v>26</v>
      </c>
      <c r="D409" s="576"/>
      <c r="E409" s="578" t="s">
        <v>1375</v>
      </c>
      <c r="F409" s="579" t="s">
        <v>28</v>
      </c>
      <c r="G409" s="580">
        <v>4000000</v>
      </c>
      <c r="H409" s="581" t="s">
        <v>4158</v>
      </c>
    </row>
    <row r="410" spans="1:8" ht="19.5" thickBot="1">
      <c r="A410" s="576"/>
      <c r="B410" s="576" t="s">
        <v>25</v>
      </c>
      <c r="C410" s="577" t="s">
        <v>26</v>
      </c>
      <c r="D410" s="576"/>
      <c r="E410" s="578" t="s">
        <v>4157</v>
      </c>
      <c r="F410" s="579" t="s">
        <v>28</v>
      </c>
      <c r="G410" s="580">
        <v>4500000</v>
      </c>
      <c r="H410" s="581" t="s">
        <v>4158</v>
      </c>
    </row>
    <row r="411" spans="1:8" ht="19.5" thickBot="1">
      <c r="A411" s="576"/>
      <c r="B411" s="576" t="s">
        <v>25</v>
      </c>
      <c r="C411" s="577" t="s">
        <v>26</v>
      </c>
      <c r="D411" s="576"/>
      <c r="E411" s="578" t="s">
        <v>1379</v>
      </c>
      <c r="F411" s="579" t="s">
        <v>28</v>
      </c>
      <c r="G411" s="580">
        <v>2800000</v>
      </c>
      <c r="H411" s="581" t="s">
        <v>4158</v>
      </c>
    </row>
    <row r="412" spans="1:8" ht="19.5" thickBot="1">
      <c r="A412" s="576"/>
      <c r="B412" s="576" t="s">
        <v>25</v>
      </c>
      <c r="C412" s="577" t="s">
        <v>26</v>
      </c>
      <c r="D412" s="576"/>
      <c r="E412" s="578" t="s">
        <v>1382</v>
      </c>
      <c r="F412" s="579" t="s">
        <v>28</v>
      </c>
      <c r="G412" s="580">
        <v>3300000</v>
      </c>
      <c r="H412" s="581" t="s">
        <v>4158</v>
      </c>
    </row>
    <row r="413" spans="1:8" ht="19.5" thickBot="1">
      <c r="A413" s="576"/>
      <c r="B413" s="576" t="s">
        <v>25</v>
      </c>
      <c r="C413" s="577" t="s">
        <v>26</v>
      </c>
      <c r="D413" s="576"/>
      <c r="E413" s="578" t="s">
        <v>1383</v>
      </c>
      <c r="F413" s="579" t="s">
        <v>28</v>
      </c>
      <c r="G413" s="580">
        <v>2900000</v>
      </c>
      <c r="H413" s="581" t="s">
        <v>4158</v>
      </c>
    </row>
    <row r="414" spans="1:8" ht="38.25" thickBot="1">
      <c r="A414" s="576"/>
      <c r="B414" s="576" t="s">
        <v>25</v>
      </c>
      <c r="C414" s="577" t="s">
        <v>26</v>
      </c>
      <c r="D414" s="576"/>
      <c r="E414" s="578" t="s">
        <v>4144</v>
      </c>
      <c r="F414" s="579" t="s">
        <v>28</v>
      </c>
      <c r="G414" s="580">
        <v>950000</v>
      </c>
      <c r="H414" s="581" t="s">
        <v>4158</v>
      </c>
    </row>
    <row r="415" spans="1:8" ht="38.25" thickBot="1">
      <c r="A415" s="576"/>
      <c r="B415" s="576" t="s">
        <v>25</v>
      </c>
      <c r="C415" s="577" t="s">
        <v>26</v>
      </c>
      <c r="D415" s="576"/>
      <c r="E415" s="578" t="s">
        <v>1385</v>
      </c>
      <c r="F415" s="579" t="s">
        <v>28</v>
      </c>
      <c r="G415" s="580">
        <v>2119000</v>
      </c>
      <c r="H415" s="581" t="s">
        <v>4158</v>
      </c>
    </row>
    <row r="416" spans="1:8" ht="38.25" thickBot="1">
      <c r="A416" s="576"/>
      <c r="B416" s="576" t="s">
        <v>25</v>
      </c>
      <c r="C416" s="577" t="s">
        <v>26</v>
      </c>
      <c r="D416" s="576"/>
      <c r="E416" s="578" t="s">
        <v>1386</v>
      </c>
      <c r="F416" s="579" t="s">
        <v>28</v>
      </c>
      <c r="G416" s="580">
        <v>2400000</v>
      </c>
      <c r="H416" s="581" t="s">
        <v>4158</v>
      </c>
    </row>
    <row r="417" spans="1:8" ht="19.5" thickBot="1">
      <c r="A417" s="576"/>
      <c r="B417" s="576" t="s">
        <v>25</v>
      </c>
      <c r="C417" s="577" t="s">
        <v>26</v>
      </c>
      <c r="D417" s="576"/>
      <c r="E417" s="578" t="s">
        <v>1387</v>
      </c>
      <c r="F417" s="579" t="s">
        <v>28</v>
      </c>
      <c r="G417" s="580">
        <v>398000</v>
      </c>
      <c r="H417" s="581" t="s">
        <v>4158</v>
      </c>
    </row>
    <row r="418" spans="1:8" ht="19.5" thickBot="1">
      <c r="A418" s="576"/>
      <c r="B418" s="576" t="s">
        <v>25</v>
      </c>
      <c r="C418" s="577" t="s">
        <v>26</v>
      </c>
      <c r="D418" s="576"/>
      <c r="E418" s="578" t="s">
        <v>4145</v>
      </c>
      <c r="F418" s="579" t="s">
        <v>28</v>
      </c>
      <c r="G418" s="580">
        <v>590000</v>
      </c>
      <c r="H418" s="581" t="s">
        <v>4158</v>
      </c>
    </row>
    <row r="419" spans="1:8" ht="19.5" thickBot="1">
      <c r="A419" s="576"/>
      <c r="B419" s="576" t="s">
        <v>25</v>
      </c>
      <c r="C419" s="577" t="s">
        <v>26</v>
      </c>
      <c r="D419" s="576"/>
      <c r="E419" s="578" t="s">
        <v>4146</v>
      </c>
      <c r="F419" s="579" t="s">
        <v>28</v>
      </c>
      <c r="G419" s="580">
        <v>1100000</v>
      </c>
      <c r="H419" s="581" t="s">
        <v>4158</v>
      </c>
    </row>
    <row r="420" spans="1:8" ht="19.5" thickBot="1">
      <c r="A420" s="576"/>
      <c r="B420" s="576" t="s">
        <v>25</v>
      </c>
      <c r="C420" s="577" t="s">
        <v>26</v>
      </c>
      <c r="D420" s="576"/>
      <c r="E420" s="578" t="s">
        <v>1390</v>
      </c>
      <c r="F420" s="579" t="s">
        <v>53</v>
      </c>
      <c r="G420" s="580">
        <v>8500</v>
      </c>
      <c r="H420" s="581" t="s">
        <v>4158</v>
      </c>
    </row>
    <row r="421" spans="1:8" ht="19.5" thickBot="1">
      <c r="A421" s="576"/>
      <c r="B421" s="576" t="s">
        <v>25</v>
      </c>
      <c r="C421" s="577" t="s">
        <v>26</v>
      </c>
      <c r="D421" s="576"/>
      <c r="E421" s="578" t="s">
        <v>1391</v>
      </c>
      <c r="F421" s="579" t="s">
        <v>53</v>
      </c>
      <c r="G421" s="580">
        <v>12000</v>
      </c>
      <c r="H421" s="581" t="s">
        <v>4158</v>
      </c>
    </row>
    <row r="422" spans="1:8" ht="19.5" thickBot="1">
      <c r="A422" s="576"/>
      <c r="B422" s="576" t="s">
        <v>25</v>
      </c>
      <c r="C422" s="577" t="s">
        <v>26</v>
      </c>
      <c r="D422" s="576"/>
      <c r="E422" s="578" t="s">
        <v>1392</v>
      </c>
      <c r="F422" s="579" t="s">
        <v>53</v>
      </c>
      <c r="G422" s="580">
        <v>17000</v>
      </c>
      <c r="H422" s="581" t="s">
        <v>4158</v>
      </c>
    </row>
    <row r="423" spans="1:8" ht="38.25" thickBot="1">
      <c r="A423" s="537" t="s">
        <v>10</v>
      </c>
      <c r="B423" s="537" t="s">
        <v>2</v>
      </c>
      <c r="C423" s="537" t="s">
        <v>3</v>
      </c>
      <c r="D423" s="537" t="s">
        <v>4</v>
      </c>
      <c r="E423" s="537" t="s">
        <v>2754</v>
      </c>
      <c r="F423" s="538" t="s">
        <v>3600</v>
      </c>
      <c r="G423" s="538" t="s">
        <v>7</v>
      </c>
      <c r="H423" s="538" t="s">
        <v>8</v>
      </c>
    </row>
    <row r="424" spans="1:8" ht="19.5" thickBot="1">
      <c r="A424" s="576"/>
      <c r="B424" s="576" t="s">
        <v>25</v>
      </c>
      <c r="C424" s="577" t="s">
        <v>26</v>
      </c>
      <c r="D424" s="576"/>
      <c r="E424" s="578" t="s">
        <v>1393</v>
      </c>
      <c r="F424" s="579" t="s">
        <v>78</v>
      </c>
      <c r="G424" s="580">
        <v>6400</v>
      </c>
      <c r="H424" s="581" t="s">
        <v>4158</v>
      </c>
    </row>
    <row r="425" spans="1:8" ht="19.5" thickBot="1">
      <c r="A425" s="576"/>
      <c r="B425" s="576" t="s">
        <v>25</v>
      </c>
      <c r="C425" s="577" t="s">
        <v>26</v>
      </c>
      <c r="D425" s="576"/>
      <c r="E425" s="578" t="s">
        <v>1394</v>
      </c>
      <c r="F425" s="579" t="s">
        <v>78</v>
      </c>
      <c r="G425" s="580">
        <v>6900</v>
      </c>
      <c r="H425" s="581" t="s">
        <v>4158</v>
      </c>
    </row>
    <row r="426" spans="1:8" ht="38.25" thickBot="1">
      <c r="A426" s="576"/>
      <c r="B426" s="614" t="s">
        <v>1396</v>
      </c>
      <c r="C426" s="577" t="s">
        <v>26</v>
      </c>
      <c r="D426" s="576"/>
      <c r="E426" s="578" t="s">
        <v>1397</v>
      </c>
      <c r="F426" s="579" t="s">
        <v>78</v>
      </c>
      <c r="G426" s="580">
        <v>47000</v>
      </c>
      <c r="H426" s="581" t="s">
        <v>4158</v>
      </c>
    </row>
    <row r="427" spans="1:8" ht="38.25" thickBot="1">
      <c r="A427" s="576"/>
      <c r="B427" s="614" t="s">
        <v>1396</v>
      </c>
      <c r="C427" s="577" t="s">
        <v>26</v>
      </c>
      <c r="D427" s="576"/>
      <c r="E427" s="578" t="s">
        <v>1399</v>
      </c>
      <c r="F427" s="579" t="s">
        <v>78</v>
      </c>
      <c r="G427" s="580">
        <v>55000</v>
      </c>
      <c r="H427" s="581" t="s">
        <v>4158</v>
      </c>
    </row>
    <row r="428" spans="1:8" ht="19.5" thickBot="1">
      <c r="A428" s="615"/>
      <c r="B428" s="614" t="s">
        <v>1396</v>
      </c>
      <c r="C428" s="577" t="s">
        <v>26</v>
      </c>
      <c r="D428" s="615"/>
      <c r="E428" s="616" t="s">
        <v>147</v>
      </c>
      <c r="F428" s="617" t="s">
        <v>78</v>
      </c>
      <c r="G428" s="618">
        <v>11000</v>
      </c>
      <c r="H428" s="581" t="s">
        <v>4158</v>
      </c>
    </row>
    <row r="429" spans="1:8" ht="19.5" thickBot="1">
      <c r="A429" s="615"/>
      <c r="B429" s="614" t="s">
        <v>1396</v>
      </c>
      <c r="C429" s="577" t="s">
        <v>26</v>
      </c>
      <c r="D429" s="615"/>
      <c r="E429" s="616" t="s">
        <v>149</v>
      </c>
      <c r="F429" s="617" t="s">
        <v>78</v>
      </c>
      <c r="G429" s="618">
        <v>17500</v>
      </c>
      <c r="H429" s="581" t="s">
        <v>4158</v>
      </c>
    </row>
    <row r="430" spans="1:8" ht="19.5" thickBot="1">
      <c r="A430" s="615"/>
      <c r="B430" s="576" t="s">
        <v>25</v>
      </c>
      <c r="C430" s="577" t="s">
        <v>26</v>
      </c>
      <c r="D430" s="615"/>
      <c r="E430" s="616" t="s">
        <v>4197</v>
      </c>
      <c r="F430" s="619" t="s">
        <v>78</v>
      </c>
      <c r="G430" s="620">
        <v>9500</v>
      </c>
      <c r="H430" s="581" t="s">
        <v>4158</v>
      </c>
    </row>
    <row r="431" spans="1:8" ht="19.5" thickBot="1">
      <c r="A431" s="615"/>
      <c r="B431" s="576" t="s">
        <v>25</v>
      </c>
      <c r="C431" s="577" t="s">
        <v>26</v>
      </c>
      <c r="D431" s="615"/>
      <c r="E431" s="616" t="s">
        <v>3695</v>
      </c>
      <c r="F431" s="619" t="s">
        <v>78</v>
      </c>
      <c r="G431" s="620">
        <v>13000</v>
      </c>
      <c r="H431" s="581" t="s">
        <v>4158</v>
      </c>
    </row>
    <row r="432" spans="1:8" ht="19.5" thickBot="1">
      <c r="A432" s="615"/>
      <c r="B432" s="576" t="s">
        <v>25</v>
      </c>
      <c r="C432" s="577" t="s">
        <v>26</v>
      </c>
      <c r="D432" s="615"/>
      <c r="E432" s="616" t="s">
        <v>3696</v>
      </c>
      <c r="F432" s="619" t="s">
        <v>78</v>
      </c>
      <c r="G432" s="620">
        <v>12000</v>
      </c>
      <c r="H432" s="581" t="s">
        <v>4158</v>
      </c>
    </row>
    <row r="433" spans="1:8" ht="19.5" thickBot="1">
      <c r="A433" s="615"/>
      <c r="B433" s="576" t="s">
        <v>25</v>
      </c>
      <c r="C433" s="577" t="s">
        <v>26</v>
      </c>
      <c r="D433" s="615"/>
      <c r="E433" s="616" t="s">
        <v>3697</v>
      </c>
      <c r="F433" s="619" t="s">
        <v>78</v>
      </c>
      <c r="G433" s="620">
        <v>182000</v>
      </c>
      <c r="H433" s="581" t="s">
        <v>4158</v>
      </c>
    </row>
    <row r="434" spans="1:8" ht="19.5" thickBot="1">
      <c r="A434" s="615"/>
      <c r="B434" s="576" t="s">
        <v>25</v>
      </c>
      <c r="C434" s="577" t="s">
        <v>26</v>
      </c>
      <c r="D434" s="615"/>
      <c r="E434" s="616" t="s">
        <v>4198</v>
      </c>
      <c r="F434" s="619" t="s">
        <v>433</v>
      </c>
      <c r="G434" s="620">
        <v>5200</v>
      </c>
      <c r="H434" s="581" t="s">
        <v>4158</v>
      </c>
    </row>
    <row r="435" spans="1:8" ht="19.5" thickBot="1">
      <c r="A435" s="615"/>
      <c r="B435" s="576" t="s">
        <v>25</v>
      </c>
      <c r="C435" s="577" t="s">
        <v>26</v>
      </c>
      <c r="D435" s="615"/>
      <c r="E435" s="616" t="s">
        <v>4199</v>
      </c>
      <c r="F435" s="619" t="s">
        <v>433</v>
      </c>
      <c r="G435" s="620">
        <v>6400</v>
      </c>
      <c r="H435" s="581" t="s">
        <v>4158</v>
      </c>
    </row>
    <row r="436" spans="1:8" ht="19.5" thickBot="1">
      <c r="A436" s="615"/>
      <c r="B436" s="576" t="s">
        <v>25</v>
      </c>
      <c r="C436" s="577" t="s">
        <v>26</v>
      </c>
      <c r="D436" s="615"/>
      <c r="E436" s="616" t="s">
        <v>4200</v>
      </c>
      <c r="F436" s="619" t="s">
        <v>433</v>
      </c>
      <c r="G436" s="620">
        <v>8300</v>
      </c>
      <c r="H436" s="581" t="s">
        <v>4158</v>
      </c>
    </row>
    <row r="437" spans="1:8" s="448" customFormat="1" ht="19.5" thickBot="1">
      <c r="A437" s="615"/>
      <c r="B437" s="576" t="s">
        <v>25</v>
      </c>
      <c r="C437" s="577" t="s">
        <v>26</v>
      </c>
      <c r="D437" s="615"/>
      <c r="E437" s="616" t="s">
        <v>4201</v>
      </c>
      <c r="F437" s="619" t="s">
        <v>433</v>
      </c>
      <c r="G437" s="620">
        <v>9300</v>
      </c>
      <c r="H437" s="581" t="s">
        <v>4158</v>
      </c>
    </row>
    <row r="438" spans="1:8" s="448" customFormat="1" ht="19.5" thickBot="1">
      <c r="A438" s="615"/>
      <c r="B438" s="576" t="s">
        <v>25</v>
      </c>
      <c r="C438" s="577" t="s">
        <v>26</v>
      </c>
      <c r="D438" s="615"/>
      <c r="E438" s="616" t="s">
        <v>4202</v>
      </c>
      <c r="F438" s="619" t="s">
        <v>433</v>
      </c>
      <c r="G438" s="620">
        <v>6400</v>
      </c>
      <c r="H438" s="581" t="s">
        <v>4158</v>
      </c>
    </row>
    <row r="439" spans="1:8" s="448" customFormat="1" ht="19.5" thickBot="1">
      <c r="A439" s="615"/>
      <c r="B439" s="576" t="s">
        <v>25</v>
      </c>
      <c r="C439" s="577" t="s">
        <v>26</v>
      </c>
      <c r="D439" s="615"/>
      <c r="E439" s="616" t="s">
        <v>4203</v>
      </c>
      <c r="F439" s="619" t="s">
        <v>433</v>
      </c>
      <c r="G439" s="620">
        <v>8700</v>
      </c>
      <c r="H439" s="581" t="s">
        <v>4158</v>
      </c>
    </row>
    <row r="440" spans="1:8" s="448" customFormat="1" ht="19.5" thickBot="1">
      <c r="A440" s="615"/>
      <c r="B440" s="576" t="s">
        <v>25</v>
      </c>
      <c r="C440" s="577" t="s">
        <v>26</v>
      </c>
      <c r="D440" s="615"/>
      <c r="E440" s="616" t="s">
        <v>4204</v>
      </c>
      <c r="F440" s="619" t="s">
        <v>433</v>
      </c>
      <c r="G440" s="620">
        <v>11300</v>
      </c>
      <c r="H440" s="581" t="s">
        <v>4158</v>
      </c>
    </row>
    <row r="441" spans="1:8" s="448" customFormat="1" ht="19.5" thickBot="1">
      <c r="A441" s="615"/>
      <c r="B441" s="576" t="s">
        <v>25</v>
      </c>
      <c r="C441" s="577" t="s">
        <v>26</v>
      </c>
      <c r="D441" s="615"/>
      <c r="E441" s="616" t="s">
        <v>4205</v>
      </c>
      <c r="F441" s="619" t="s">
        <v>433</v>
      </c>
      <c r="G441" s="620">
        <v>14300</v>
      </c>
      <c r="H441" s="581" t="s">
        <v>4158</v>
      </c>
    </row>
    <row r="442" spans="1:8" ht="19.5" thickBot="1">
      <c r="A442" s="615"/>
      <c r="B442" s="576" t="s">
        <v>25</v>
      </c>
      <c r="C442" s="577" t="s">
        <v>26</v>
      </c>
      <c r="D442" s="615"/>
      <c r="E442" s="616" t="s">
        <v>4206</v>
      </c>
      <c r="F442" s="619" t="s">
        <v>433</v>
      </c>
      <c r="G442" s="620">
        <v>18100</v>
      </c>
      <c r="H442" s="581" t="s">
        <v>4158</v>
      </c>
    </row>
    <row r="443" spans="1:8" ht="21.75" customHeight="1" thickBot="1">
      <c r="A443" s="615"/>
      <c r="B443" s="576" t="s">
        <v>25</v>
      </c>
      <c r="C443" s="577" t="s">
        <v>26</v>
      </c>
      <c r="D443" s="615"/>
      <c r="E443" s="616" t="s">
        <v>328</v>
      </c>
      <c r="F443" s="619" t="s">
        <v>78</v>
      </c>
      <c r="G443" s="620">
        <v>66000</v>
      </c>
      <c r="H443" s="581" t="s">
        <v>4158</v>
      </c>
    </row>
    <row r="444" spans="1:8" ht="19.5" thickBot="1">
      <c r="A444" s="615"/>
      <c r="B444" s="576" t="s">
        <v>25</v>
      </c>
      <c r="C444" s="577" t="s">
        <v>26</v>
      </c>
      <c r="D444" s="615"/>
      <c r="E444" s="616" t="s">
        <v>241</v>
      </c>
      <c r="F444" s="619" t="s">
        <v>78</v>
      </c>
      <c r="G444" s="620">
        <v>13800</v>
      </c>
      <c r="H444" s="581" t="s">
        <v>4158</v>
      </c>
    </row>
    <row r="445" spans="1:8" ht="19.5" thickBot="1">
      <c r="A445" s="615"/>
      <c r="B445" s="576" t="s">
        <v>25</v>
      </c>
      <c r="C445" s="577" t="s">
        <v>26</v>
      </c>
      <c r="D445" s="615"/>
      <c r="E445" s="616" t="s">
        <v>245</v>
      </c>
      <c r="F445" s="619" t="s">
        <v>78</v>
      </c>
      <c r="G445" s="620">
        <v>16800</v>
      </c>
      <c r="H445" s="581" t="s">
        <v>4158</v>
      </c>
    </row>
    <row r="446" spans="1:8" ht="19.5" thickBot="1">
      <c r="A446" s="615"/>
      <c r="B446" s="576" t="s">
        <v>25</v>
      </c>
      <c r="C446" s="577" t="s">
        <v>26</v>
      </c>
      <c r="D446" s="615"/>
      <c r="E446" s="616" t="s">
        <v>247</v>
      </c>
      <c r="F446" s="619" t="s">
        <v>78</v>
      </c>
      <c r="G446" s="620">
        <v>26600</v>
      </c>
      <c r="H446" s="581" t="s">
        <v>4158</v>
      </c>
    </row>
    <row r="447" spans="1:8" ht="19.5" thickBot="1">
      <c r="A447" s="615"/>
      <c r="B447" s="576" t="s">
        <v>25</v>
      </c>
      <c r="C447" s="577" t="s">
        <v>26</v>
      </c>
      <c r="D447" s="615"/>
      <c r="E447" s="616" t="s">
        <v>141</v>
      </c>
      <c r="F447" s="619" t="s">
        <v>78</v>
      </c>
      <c r="G447" s="620">
        <v>21000</v>
      </c>
      <c r="H447" s="581" t="s">
        <v>4158</v>
      </c>
    </row>
  </sheetData>
  <autoFilter ref="A1:H177" xr:uid="{00000000-0009-0000-0000-000006000000}"/>
  <mergeCells count="25">
    <mergeCell ref="A335:H335"/>
    <mergeCell ref="A240:H240"/>
    <mergeCell ref="A287:H287"/>
    <mergeCell ref="A294:H294"/>
    <mergeCell ref="A327:H327"/>
    <mergeCell ref="A329:H329"/>
    <mergeCell ref="A333:H333"/>
    <mergeCell ref="A237:H237"/>
    <mergeCell ref="A78:H78"/>
    <mergeCell ref="A95:H95"/>
    <mergeCell ref="A124:H124"/>
    <mergeCell ref="A140:H140"/>
    <mergeCell ref="A178:H178"/>
    <mergeCell ref="A188:H188"/>
    <mergeCell ref="A193:H193"/>
    <mergeCell ref="A199:H199"/>
    <mergeCell ref="A203:H203"/>
    <mergeCell ref="A231:H231"/>
    <mergeCell ref="A234:H234"/>
    <mergeCell ref="A51:H51"/>
    <mergeCell ref="A2:H2"/>
    <mergeCell ref="A24:H24"/>
    <mergeCell ref="A27:H27"/>
    <mergeCell ref="A31:H31"/>
    <mergeCell ref="A43:H43"/>
  </mergeCells>
  <conditionalFormatting sqref="B211 B215 B244 B247:B249 B251 B297 D251 D297 B334:D334 B339:D340 B344:D344 B347:D347 B306:D308 C32:C42 B241 C341:C343 C345:C346 C179:C187 C200:C202 C232:C233 C235:C236 C238:C239 C286 C288:C293 C309:C313 C194:C198 C330:C332 C59:C63 C75 C189:C190 C192 C79:C88 C90:C94 C72 C96:C97 C99:C123 C125:C127 C129:C139 C141:C164 C166:C177 C204:C208 C210:C230 C241:C255 C257:C284 C295:C301 C303:C304 C336 C338 C348:C365 C367:C373 C375:C394 C396:C422 C424:C447 C65:C67 C69 C315:C326 C328">
    <cfRule type="beginsWith" dxfId="240" priority="7" operator="beginsWith" text="พัสดุ">
      <formula>LEFT((E32),LEN("พัสดุ"))=("พัสดุ")</formula>
    </cfRule>
  </conditionalFormatting>
  <conditionalFormatting sqref="B211 B215 B244 B247:B249 B251 B297 B334 B339:B340 B344 B347">
    <cfRule type="beginsWith" dxfId="239" priority="8" operator="beginsWith" text="พัสดุ">
      <formula>LEFT((E211),LEN("พัสดุ"))=("พัสดุ")</formula>
    </cfRule>
  </conditionalFormatting>
  <conditionalFormatting sqref="C137 C154 C189 B211">
    <cfRule type="beginsWith" dxfId="238" priority="9" operator="beginsWith" text="พัสดุ">
      <formula>LEFT((E137),LEN("พัสดุ"))=("พัสดุ")</formula>
    </cfRule>
  </conditionalFormatting>
  <conditionalFormatting sqref="E251 E297 E334 E339:E340 E344 E347 E248:E249 E306:E308">
    <cfRule type="beginsWith" dxfId="237" priority="10" operator="beginsWith" text="พัสดุ">
      <formula>LEFT((#REF!),LEN("พัสดุ"))=("พัสดุ")</formula>
    </cfRule>
  </conditionalFormatting>
  <conditionalFormatting sqref="H154 G306:H308">
    <cfRule type="beginsWith" dxfId="236" priority="11" operator="beginsWith" text="พัสดุ">
      <formula>LEFT((#REF!),LEN("พัสดุ"))=("พัสดุ")</formula>
    </cfRule>
  </conditionalFormatting>
  <conditionalFormatting sqref="H215 H241 H96 H189 H211 G247:H249 G251:H251 G297:H297 G334:H334 G339:G340 G344 G347 G244:H244">
    <cfRule type="beginsWith" dxfId="235" priority="12" operator="beginsWith" text="พัสดุ">
      <formula>LEFT((#REF!),LEN("พัสดุ"))=("พัสดุ")</formula>
    </cfRule>
  </conditionalFormatting>
  <conditionalFormatting sqref="F247:F249 F251 F297 F334 F339:F340 F344 F347 F306:F308">
    <cfRule type="beginsWith" dxfId="234" priority="13" operator="beginsWith" text="พัสดุ">
      <formula>LEFT((H247),LEN("พัสดุ"))=("พัสดุ")</formula>
    </cfRule>
  </conditionalFormatting>
  <conditionalFormatting sqref="A124 A140 A178 A188 A199 A203 A231 A234 A237 A240 A287 A294 A327 A329 A95 A193 A333">
    <cfRule type="beginsWith" dxfId="233" priority="14" operator="beginsWith" text="พัสดุ">
      <formula>LEFT((F95),LEN("พัสดุ"))=("พัสดุ")</formula>
    </cfRule>
  </conditionalFormatting>
  <conditionalFormatting sqref="A335">
    <cfRule type="beginsWith" dxfId="232" priority="6" operator="beginsWith" text="พัสดุ">
      <formula>LEFT((F335),LEN("พัสดุ"))=("พัสดุ")</formula>
    </cfRule>
  </conditionalFormatting>
  <conditionalFormatting sqref="C374">
    <cfRule type="beginsWith" dxfId="231" priority="5" operator="beginsWith" text="พัสดุ">
      <formula>LEFT((F374),LEN("พัสดุ"))=("พัสดุ")</formula>
    </cfRule>
  </conditionalFormatting>
  <conditionalFormatting sqref="C285">
    <cfRule type="beginsWith" dxfId="230" priority="4" operator="beginsWith" text="พัสดุ">
      <formula>LEFT((F285),LEN("พัสดุ"))=("พัสดุ")</formula>
    </cfRule>
  </conditionalFormatting>
  <conditionalFormatting sqref="C305">
    <cfRule type="beginsWith" dxfId="229" priority="2" operator="beginsWith" text="พัสดุ">
      <formula>LEFT((F305),LEN("พัสดุ"))=("พัสดุ")</formula>
    </cfRule>
  </conditionalFormatting>
  <conditionalFormatting sqref="C314">
    <cfRule type="beginsWith" dxfId="228" priority="1" operator="beginsWith" text="พัสดุ">
      <formula>LEFT((F314),LEN("พัสดุ"))=("พัสดุ")</formula>
    </cfRule>
  </conditionalFormatting>
  <dataValidations count="1">
    <dataValidation type="list" allowBlank="1" sqref="B232:B233 B235:B236 B328 B330:B332 B239 B179:B187 B200:B202 B288:B293 B334 B194:B198 B32:B42 B189:B192 B79:B94 B59:B75 B96:B123 B125:B139 B141:B177 B204:B230 B241:B286 B295:B326" xr:uid="{00000000-0002-0000-0600-000000000000}">
      <formula1>"กวก.ฯ,กอค.ฯ,กสน.ฯ,กรง.ฯ,กดก.ฯ,กปภ.ฯ,กฟฟ.ฯ,ชย.ทอ."</formula1>
    </dataValidation>
  </dataValidations>
  <hyperlinks>
    <hyperlink ref="H3" r:id="rId1" display="https://drive.google.com/open?id=1VdHj9VjX4_igB-pTZwbN0-0PYtbtaFJX" xr:uid="{00000000-0004-0000-0600-000000000000}"/>
    <hyperlink ref="H4" r:id="rId2" display="https://drive.google.com/open?id=0B2vBTVEfSzItZzBYV2cyTGtJLTA" xr:uid="{00000000-0004-0000-0600-000001000000}"/>
    <hyperlink ref="H5" r:id="rId3" display="https://drive.google.com/open?id=0B2vBTVEfSzItVDBzc3RwZ2F5SGM" xr:uid="{00000000-0004-0000-0600-000002000000}"/>
    <hyperlink ref="H6" r:id="rId4" display="https://drive.google.com/open?id=1KQe81ndxnboVCQ2wDiN-5qHbLV8orSNV" xr:uid="{00000000-0004-0000-0600-000003000000}"/>
    <hyperlink ref="H8" r:id="rId5" display="https://drive.google.com/open?id=1tbmxLDs2XdlTjG_MbgoWNjMI-uWEYO6s" xr:uid="{00000000-0004-0000-0600-000004000000}"/>
    <hyperlink ref="H10" r:id="rId6" display="https://drive.google.com/open?id=0B2rLR4BADrBtN1BLSnNrSHR1SUE" xr:uid="{00000000-0004-0000-0600-000005000000}"/>
    <hyperlink ref="H11" r:id="rId7" display="https://drive.google.com/open?id=0B2rLR4BADrBtallTanYxUTQ0eXc" xr:uid="{00000000-0004-0000-0600-000006000000}"/>
    <hyperlink ref="H12" r:id="rId8" display="https://drive.google.com/open?id=0B2rLR4BADrBtbmVab1pNaDZHcFU" xr:uid="{00000000-0004-0000-0600-000007000000}"/>
    <hyperlink ref="H13" r:id="rId9" display="https://drive.google.com/open?id=0B2vBTVEfSzItN0l1dkZGekVwNmM" xr:uid="{00000000-0004-0000-0600-000008000000}"/>
    <hyperlink ref="H14" r:id="rId10" display="https://drive.google.com/open?id=1d-colTudNLeYNW53-LZTFcfJ5Hj_cb1k" xr:uid="{00000000-0004-0000-0600-000009000000}"/>
    <hyperlink ref="H15" r:id="rId11" display="https://drive.google.com/open?id=0B2vBTVEfSzItQnlzZ2dwSVU3Nm8" xr:uid="{00000000-0004-0000-0600-00000A000000}"/>
    <hyperlink ref="H16" r:id="rId12" display="https://drive.google.com/open?id=1zhu8FHz5kc6dijTB33dmeY5tfh77gOUh" xr:uid="{00000000-0004-0000-0600-00000B000000}"/>
    <hyperlink ref="H17" r:id="rId13" display="https://drive.google.com/open?id=0B2rLR4BADrBtcnlUNnJwd2Rua3c" xr:uid="{00000000-0004-0000-0600-00000C000000}"/>
    <hyperlink ref="H20" r:id="rId14" display="https://drive.google.com/open?id=1c9ROm4HUcAc15S4MXmpkFN2sBo4k3rwu" xr:uid="{00000000-0004-0000-0600-00000D000000}"/>
    <hyperlink ref="H21" r:id="rId15" display="https://drive.google.com/open?id=0B2rLR4BADrBtSTVSam9qQ1QwNlE" xr:uid="{00000000-0004-0000-0600-00000E000000}"/>
    <hyperlink ref="H22" r:id="rId16" display="https://drive.google.com/open?id=0B2rLR4BADrBtR1JUbUVIbHBQdE0" xr:uid="{00000000-0004-0000-0600-00000F000000}"/>
    <hyperlink ref="H25" r:id="rId17" display="https://drive.google.com/open?id=0B2rLR4BADrBtT3gwb3hYWjY3Qzg" xr:uid="{00000000-0004-0000-0600-000010000000}"/>
    <hyperlink ref="H26" r:id="rId18" display="https://drive.google.com/open?id=0B2rLR4BADrBtTFd4NHpveWVRejQ" xr:uid="{00000000-0004-0000-0600-000011000000}"/>
    <hyperlink ref="H28" r:id="rId19" display="https://drive.google.com/open?id=0B2rLR4BADrBtT3gwb3hYWjY3Qzg" xr:uid="{00000000-0004-0000-0600-000012000000}"/>
    <hyperlink ref="H30" r:id="rId20" display="https://drive.google.com/open?id=0B2rLR4BADrBtTFd4NHpveWVRejQ" xr:uid="{00000000-0004-0000-0600-000013000000}"/>
    <hyperlink ref="H44" r:id="rId21" display="https://drive.google.com/open?id=1ufQfoDiiaYCbrJzN3VHB6iPNKKG93CRr" xr:uid="{00000000-0004-0000-0600-000014000000}"/>
    <hyperlink ref="H46" r:id="rId22" display="https://drive.google.com/file/d/15ESC8cXjsJkafs8RLoJOKzvMwZmu0bUy/view?usp=sharing" xr:uid="{00000000-0004-0000-0600-000015000000}"/>
    <hyperlink ref="H47" r:id="rId23" display="https://drive.google.com/file/d/1pKHBgNrqeSlTXQiJ89vNQxpyFoKbN5WZ/view?usp=sharing" xr:uid="{00000000-0004-0000-0600-000016000000}"/>
    <hyperlink ref="H48" r:id="rId24" display="https://drive.google.com/open?id=0B2vBTVEfSzItRjBoaWdNb3JlbW8" xr:uid="{00000000-0004-0000-0600-000017000000}"/>
    <hyperlink ref="H50" r:id="rId25" display="https://drive.google.com/open?id=0B2rLR4BADrBtQWpSdUx2a0oxczg" xr:uid="{00000000-0004-0000-0600-000018000000}"/>
    <hyperlink ref="H55" r:id="rId26" display="https://drive.google.com/open?id=0B2rLR4BADrBtNTFZWkdGaWZYWG8" xr:uid="{00000000-0004-0000-0600-00001A000000}"/>
    <hyperlink ref="H56" r:id="rId27" display="https://drive.google.com/open?id=0B2vBTVEfSzItME90d1dqTjBGZGs" xr:uid="{00000000-0004-0000-0600-00001B000000}"/>
    <hyperlink ref="H57" r:id="rId28" display="https://drive.google.com/open?id=1r_CIVuHpalaal0RW_5rYR3_kL0HSK31y" xr:uid="{00000000-0004-0000-0600-00001C000000}"/>
    <hyperlink ref="H58" r:id="rId29" display="https://drive.google.com/open?id=1zXwF20wl-SN960KREf7OXsDJIuaLLZft" xr:uid="{00000000-0004-0000-0600-00001D000000}"/>
    <hyperlink ref="H45" r:id="rId30" display="https://drive.google.com/open?id=0B2vBTVEfSzItWWFhdUNacTUtMnM" xr:uid="{00000000-0004-0000-0600-00001E000000}"/>
    <hyperlink ref="H23" r:id="rId31" display="https://drive.google.com/open?id=0B2rLR4BADrBtR1JUbUVIbHBQdE0" xr:uid="{00000000-0004-0000-0600-00001F000000}"/>
    <hyperlink ref="H7" r:id="rId32" display="https://drive.google.com/open?id=1KQe81ndxnboVCQ2wDiN-5qHbLV8orSNV" xr:uid="{00000000-0004-0000-0600-000020000000}"/>
    <hyperlink ref="H68" r:id="rId33" display="https://drive.google.com/open?id=0B2rLR4BADrBtNTFZWkdGaWZYWG8" xr:uid="{2E7A029A-0BCB-4EA1-8393-E1B3223C5BC1}"/>
    <hyperlink ref="H18" r:id="rId34" display="https://drive.google.com/open?id=0B2rLR4BADrBtcnlUNnJwd2Rua3c" xr:uid="{36484131-937C-43EB-9908-58538B6877AD}"/>
    <hyperlink ref="H19" r:id="rId35" display="https://drive.google.com/open?id=0B2rLR4BADrBtcnlUNnJwd2Rua3c" xr:uid="{B3978BFB-86B9-475A-ADEB-70D3B78A1406}"/>
    <hyperlink ref="H9" r:id="rId36" display="https://drive.google.com/open?id=1tbmxLDs2XdlTjG_MbgoWNjMI-uWEYO6s" xr:uid="{759D9D3F-3AB5-4BE0-9635-7D01288C3FE8}"/>
  </hyperlinks>
  <pageMargins left="0.5" right="0.25" top="0.75" bottom="0.75" header="0.3" footer="0.3"/>
  <pageSetup paperSize="9" scale="68" fitToHeight="0" orientation="portrait" verticalDpi="360" r:id="rId37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3" operator="beginsWith" text="พัสดุ" id="{10264DC4-2E1B-461B-95BD-1EE928017780}">
            <xm:f>LEFT(('ปรับปรุง ปี 63-1'!F182),LEN("พัสดุ"))=("พัสดุ")</xm:f>
            <x14:dxf>
              <font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C191</xm:sqref>
        </x14:conditionalFormatting>
        <x14:conditionalFormatting xmlns:xm="http://schemas.microsoft.com/office/excel/2006/main">
          <x14:cfRule type="beginsWith" priority="15" operator="beginsWith" text="พัสดุ" id="{38477B73-F9F8-428B-9E6F-08340C48AA30}">
            <xm:f>LEFT(('ปรับปรุง ปี 63-1'!F63),LEN("พัสดุ"))=("พัสดุ")</xm:f>
            <x14:dxf>
              <font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C70:C71</xm:sqref>
        </x14:conditionalFormatting>
        <x14:conditionalFormatting xmlns:xm="http://schemas.microsoft.com/office/excel/2006/main">
          <x14:cfRule type="beginsWith" priority="16" operator="beginsWith" text="พัสดุ" id="{8A097A88-63B1-4A01-9275-615137EE1683}">
            <xm:f>LEFT(('ปรับปรุง ปี 63-1'!F79),LEN("พัสดุ"))=("พัสดุ")</xm:f>
            <x14:dxf>
              <font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C89</xm:sqref>
        </x14:conditionalFormatting>
        <x14:conditionalFormatting xmlns:xm="http://schemas.microsoft.com/office/excel/2006/main">
          <x14:cfRule type="beginsWith" priority="238" operator="beginsWith" text="พัสดุ" id="{38477B73-F9F8-428B-9E6F-08340C48AA30}">
            <xm:f>LEFT(('ปรับปรุง ปี 63-1'!F58),LEN("พัสดุ"))=("พัสดุ")</xm:f>
            <x14:dxf>
              <font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C64</xm:sqref>
        </x14:conditionalFormatting>
        <x14:conditionalFormatting xmlns:xm="http://schemas.microsoft.com/office/excel/2006/main">
          <x14:cfRule type="beginsWith" priority="244" operator="beginsWith" text="พัสดุ" id="{10264DC4-2E1B-461B-95BD-1EE928017780}">
            <xm:f>LEFT(('ปรับปรุง ปี 63-1'!F65),LEN("พัสดุ"))=("พัสดุ")</xm:f>
            <x14:dxf>
              <font>
                <color rgb="FFFFFFFF"/>
              </font>
              <fill>
                <patternFill patternType="solid">
                  <fgColor rgb="FF000000"/>
                  <bgColor rgb="FF000000"/>
                </patternFill>
              </fill>
            </x14:dxf>
          </x14:cfRule>
          <xm:sqref>C73:C74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00FF"/>
    <outlinePr summaryBelow="0" summaryRight="0"/>
    <pageSetUpPr fitToPage="1"/>
  </sheetPr>
  <dimension ref="A1:Z199"/>
  <sheetViews>
    <sheetView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G2" sqref="G2"/>
    </sheetView>
  </sheetViews>
  <sheetFormatPr defaultColWidth="14.42578125" defaultRowHeight="15.75" customHeight="1"/>
  <cols>
    <col min="1" max="1" width="21.28515625" customWidth="1"/>
    <col min="2" max="2" width="11.5703125" customWidth="1"/>
    <col min="3" max="3" width="12.140625" customWidth="1"/>
    <col min="4" max="4" width="15.5703125" customWidth="1"/>
    <col min="5" max="5" width="6.85546875" customWidth="1"/>
    <col min="6" max="6" width="38.140625" customWidth="1"/>
    <col min="7" max="7" width="9.7109375" customWidth="1"/>
    <col min="8" max="8" width="10.7109375" customWidth="1"/>
    <col min="9" max="9" width="10.85546875" hidden="1" customWidth="1"/>
    <col min="10" max="10" width="21.5703125" customWidth="1"/>
    <col min="11" max="11" width="12.7109375" hidden="1" customWidth="1"/>
    <col min="12" max="12" width="35.85546875" hidden="1" customWidth="1"/>
    <col min="13" max="13" width="39.5703125" customWidth="1"/>
    <col min="14" max="19" width="13.28515625" hidden="1" customWidth="1"/>
    <col min="20" max="21" width="8.5703125" hidden="1" customWidth="1"/>
    <col min="22" max="22" width="10" hidden="1" customWidth="1"/>
    <col min="23" max="23" width="12.5703125" hidden="1" customWidth="1"/>
    <col min="24" max="25" width="10.42578125" hidden="1" customWidth="1"/>
    <col min="26" max="26" width="13.28515625" hidden="1" customWidth="1"/>
  </cols>
  <sheetData>
    <row r="1" spans="1:26" ht="36.75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3" t="s">
        <v>6</v>
      </c>
      <c r="I1" s="4" t="s">
        <v>6</v>
      </c>
      <c r="J1" s="3" t="s">
        <v>8</v>
      </c>
      <c r="K1" s="6" t="s">
        <v>9</v>
      </c>
      <c r="L1" s="7" t="s">
        <v>10</v>
      </c>
      <c r="M1" s="1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10" t="s">
        <v>18</v>
      </c>
      <c r="U1" s="10" t="s">
        <v>19</v>
      </c>
      <c r="V1" s="12" t="s">
        <v>20</v>
      </c>
      <c r="W1" s="13" t="s">
        <v>20</v>
      </c>
      <c r="X1" s="15" t="s">
        <v>21</v>
      </c>
      <c r="Y1" s="15" t="s">
        <v>22</v>
      </c>
      <c r="Z1" s="15" t="s">
        <v>23</v>
      </c>
    </row>
    <row r="2" spans="1:26" ht="37.5">
      <c r="A2" s="17"/>
      <c r="B2" s="20" t="s">
        <v>24</v>
      </c>
      <c r="C2" s="21" t="s">
        <v>25</v>
      </c>
      <c r="D2" s="21" t="s">
        <v>26</v>
      </c>
      <c r="E2" s="22"/>
      <c r="F2" s="24" t="s">
        <v>27</v>
      </c>
      <c r="G2" s="26" t="s">
        <v>28</v>
      </c>
      <c r="H2" s="27">
        <v>527000</v>
      </c>
      <c r="I2" s="28"/>
      <c r="J2" s="29"/>
      <c r="K2" s="30"/>
      <c r="L2" s="31"/>
      <c r="M2" s="22"/>
      <c r="N2" s="32"/>
      <c r="O2" s="32"/>
      <c r="P2" s="32"/>
      <c r="Q2" s="32"/>
      <c r="R2" s="32"/>
      <c r="S2" s="32"/>
      <c r="T2" s="34"/>
      <c r="U2" s="34"/>
      <c r="V2" s="36" t="str">
        <f t="shared" ref="V2:V199" si="0">LEFT(B2, SEARCH("",B2,3))</f>
        <v>100</v>
      </c>
      <c r="W2" s="39">
        <f>COUNTIF('52-60'!$V$2:$V206,V2)-1</f>
        <v>-1</v>
      </c>
      <c r="X2" s="40"/>
      <c r="Y2" s="40"/>
      <c r="Z2" s="40"/>
    </row>
    <row r="3" spans="1:26" ht="56.25">
      <c r="A3" s="17"/>
      <c r="B3" s="20" t="s">
        <v>30</v>
      </c>
      <c r="C3" s="21" t="s">
        <v>25</v>
      </c>
      <c r="D3" s="21" t="s">
        <v>26</v>
      </c>
      <c r="E3" s="22"/>
      <c r="F3" s="24" t="s">
        <v>31</v>
      </c>
      <c r="G3" s="26" t="s">
        <v>28</v>
      </c>
      <c r="H3" s="27">
        <v>743000</v>
      </c>
      <c r="I3" s="28"/>
      <c r="J3" s="29"/>
      <c r="K3" s="30"/>
      <c r="L3" s="31"/>
      <c r="M3" s="22"/>
      <c r="N3" s="32"/>
      <c r="O3" s="32"/>
      <c r="P3" s="32"/>
      <c r="Q3" s="32"/>
      <c r="R3" s="32"/>
      <c r="S3" s="32"/>
      <c r="T3" s="34"/>
      <c r="U3" s="34"/>
      <c r="V3" s="36" t="str">
        <f t="shared" si="0"/>
        <v>100</v>
      </c>
      <c r="W3" s="39">
        <f>COUNTIF('52-60'!$V$2:$V206,V3)-1</f>
        <v>-1</v>
      </c>
      <c r="X3" s="40"/>
      <c r="Y3" s="40"/>
      <c r="Z3" s="40"/>
    </row>
    <row r="4" spans="1:26" ht="56.25">
      <c r="A4" s="17"/>
      <c r="B4" s="20" t="s">
        <v>32</v>
      </c>
      <c r="C4" s="21" t="s">
        <v>25</v>
      </c>
      <c r="D4" s="21" t="s">
        <v>26</v>
      </c>
      <c r="E4" s="22"/>
      <c r="F4" s="24" t="s">
        <v>33</v>
      </c>
      <c r="G4" s="26" t="s">
        <v>28</v>
      </c>
      <c r="H4" s="27">
        <v>931000</v>
      </c>
      <c r="I4" s="28"/>
      <c r="J4" s="29"/>
      <c r="K4" s="30"/>
      <c r="L4" s="31"/>
      <c r="M4" s="22"/>
      <c r="N4" s="32"/>
      <c r="O4" s="32"/>
      <c r="P4" s="32"/>
      <c r="Q4" s="32"/>
      <c r="R4" s="32"/>
      <c r="S4" s="32"/>
      <c r="T4" s="34"/>
      <c r="U4" s="34"/>
      <c r="V4" s="36" t="str">
        <f t="shared" si="0"/>
        <v>100</v>
      </c>
      <c r="W4" s="39">
        <f>COUNTIF('52-60'!$V$2:$V206,V4)-1</f>
        <v>-1</v>
      </c>
      <c r="X4" s="40"/>
      <c r="Y4" s="40"/>
      <c r="Z4" s="40"/>
    </row>
    <row r="5" spans="1:26" ht="18.75">
      <c r="A5" s="17"/>
      <c r="B5" s="20" t="s">
        <v>34</v>
      </c>
      <c r="C5" s="21" t="s">
        <v>25</v>
      </c>
      <c r="D5" s="21" t="s">
        <v>26</v>
      </c>
      <c r="E5" s="22"/>
      <c r="F5" s="24" t="s">
        <v>35</v>
      </c>
      <c r="G5" s="26" t="s">
        <v>36</v>
      </c>
      <c r="H5" s="27">
        <v>50000</v>
      </c>
      <c r="I5" s="28"/>
      <c r="J5" s="29"/>
      <c r="K5" s="30"/>
      <c r="L5" s="31"/>
      <c r="M5" s="22"/>
      <c r="N5" s="32"/>
      <c r="O5" s="32"/>
      <c r="P5" s="32"/>
      <c r="Q5" s="32"/>
      <c r="R5" s="32"/>
      <c r="S5" s="32"/>
      <c r="T5" s="34"/>
      <c r="U5" s="34"/>
      <c r="V5" s="36" t="str">
        <f t="shared" si="0"/>
        <v>100</v>
      </c>
      <c r="W5" s="39">
        <f>COUNTIF('52-60'!$V$2:$V206,V5)-1</f>
        <v>-1</v>
      </c>
      <c r="X5" s="40"/>
      <c r="Y5" s="40"/>
      <c r="Z5" s="40"/>
    </row>
    <row r="6" spans="1:26" ht="18.75">
      <c r="A6" s="17"/>
      <c r="B6" s="20" t="s">
        <v>39</v>
      </c>
      <c r="C6" s="21" t="s">
        <v>25</v>
      </c>
      <c r="D6" s="21" t="s">
        <v>26</v>
      </c>
      <c r="E6" s="22"/>
      <c r="F6" s="24" t="s">
        <v>40</v>
      </c>
      <c r="G6" s="26" t="s">
        <v>36</v>
      </c>
      <c r="H6" s="27">
        <v>35000</v>
      </c>
      <c r="I6" s="28"/>
      <c r="J6" s="29"/>
      <c r="K6" s="30"/>
      <c r="L6" s="31"/>
      <c r="M6" s="22"/>
      <c r="N6" s="32"/>
      <c r="O6" s="32"/>
      <c r="P6" s="32"/>
      <c r="Q6" s="32"/>
      <c r="R6" s="32"/>
      <c r="S6" s="32"/>
      <c r="T6" s="34"/>
      <c r="U6" s="34"/>
      <c r="V6" s="36" t="str">
        <f t="shared" si="0"/>
        <v>100</v>
      </c>
      <c r="W6" s="39">
        <f>COUNTIF('52-60'!$V$2:$V206,V6)-1</f>
        <v>-1</v>
      </c>
      <c r="X6" s="40"/>
      <c r="Y6" s="40"/>
      <c r="Z6" s="40"/>
    </row>
    <row r="7" spans="1:26" ht="37.5">
      <c r="A7" s="17"/>
      <c r="B7" s="20" t="s">
        <v>42</v>
      </c>
      <c r="C7" s="21" t="s">
        <v>25</v>
      </c>
      <c r="D7" s="21" t="s">
        <v>26</v>
      </c>
      <c r="E7" s="22"/>
      <c r="F7" s="24" t="s">
        <v>43</v>
      </c>
      <c r="G7" s="26" t="s">
        <v>36</v>
      </c>
      <c r="H7" s="27">
        <v>245000</v>
      </c>
      <c r="I7" s="28"/>
      <c r="J7" s="29"/>
      <c r="K7" s="30"/>
      <c r="L7" s="31"/>
      <c r="M7" s="22"/>
      <c r="N7" s="32"/>
      <c r="O7" s="32"/>
      <c r="P7" s="32"/>
      <c r="Q7" s="32"/>
      <c r="R7" s="32"/>
      <c r="S7" s="32"/>
      <c r="T7" s="34"/>
      <c r="U7" s="34"/>
      <c r="V7" s="36" t="str">
        <f t="shared" si="0"/>
        <v>100</v>
      </c>
      <c r="W7" s="39">
        <f>COUNTIF('52-60'!$V$2:$V206,V7)-1</f>
        <v>-1</v>
      </c>
      <c r="X7" s="40"/>
      <c r="Y7" s="40"/>
      <c r="Z7" s="40"/>
    </row>
    <row r="8" spans="1:26" ht="18.75">
      <c r="A8" s="17"/>
      <c r="B8" s="20" t="s">
        <v>44</v>
      </c>
      <c r="C8" s="21" t="s">
        <v>25</v>
      </c>
      <c r="D8" s="21" t="s">
        <v>26</v>
      </c>
      <c r="E8" s="22"/>
      <c r="F8" s="24" t="s">
        <v>45</v>
      </c>
      <c r="G8" s="26" t="s">
        <v>36</v>
      </c>
      <c r="H8" s="27">
        <v>15000</v>
      </c>
      <c r="I8" s="28"/>
      <c r="J8" s="29"/>
      <c r="K8" s="30"/>
      <c r="L8" s="31"/>
      <c r="M8" s="22"/>
      <c r="N8" s="32"/>
      <c r="O8" s="32"/>
      <c r="P8" s="32"/>
      <c r="Q8" s="32"/>
      <c r="R8" s="32"/>
      <c r="S8" s="32"/>
      <c r="T8" s="34"/>
      <c r="U8" s="34"/>
      <c r="V8" s="36" t="str">
        <f t="shared" si="0"/>
        <v>100</v>
      </c>
      <c r="W8" s="39">
        <f>COUNTIF('52-60'!$V$2:$V206,V8)-1</f>
        <v>-1</v>
      </c>
      <c r="X8" s="40"/>
      <c r="Y8" s="40"/>
      <c r="Z8" s="40"/>
    </row>
    <row r="9" spans="1:26" ht="37.5">
      <c r="A9" s="17"/>
      <c r="B9" s="20" t="s">
        <v>46</v>
      </c>
      <c r="C9" s="21" t="s">
        <v>25</v>
      </c>
      <c r="D9" s="21" t="s">
        <v>26</v>
      </c>
      <c r="E9" s="22"/>
      <c r="F9" s="24" t="s">
        <v>47</v>
      </c>
      <c r="G9" s="26" t="s">
        <v>48</v>
      </c>
      <c r="H9" s="27">
        <v>13600</v>
      </c>
      <c r="I9" s="28"/>
      <c r="J9" s="29"/>
      <c r="K9" s="30"/>
      <c r="L9" s="31"/>
      <c r="M9" s="22"/>
      <c r="N9" s="32"/>
      <c r="O9" s="32"/>
      <c r="P9" s="32"/>
      <c r="Q9" s="32"/>
      <c r="R9" s="32"/>
      <c r="S9" s="32"/>
      <c r="T9" s="34"/>
      <c r="U9" s="34"/>
      <c r="V9" s="36" t="str">
        <f t="shared" si="0"/>
        <v>100</v>
      </c>
      <c r="W9" s="39">
        <f>COUNTIF('52-60'!$V$2:$V206,V9)-1</f>
        <v>-1</v>
      </c>
      <c r="X9" s="40"/>
      <c r="Y9" s="40"/>
      <c r="Z9" s="40"/>
    </row>
    <row r="10" spans="1:26" ht="37.5">
      <c r="A10" s="17"/>
      <c r="B10" s="20" t="s">
        <v>49</v>
      </c>
      <c r="C10" s="21" t="s">
        <v>25</v>
      </c>
      <c r="D10" s="21" t="s">
        <v>26</v>
      </c>
      <c r="E10" s="22"/>
      <c r="F10" s="24" t="s">
        <v>50</v>
      </c>
      <c r="G10" s="26" t="s">
        <v>48</v>
      </c>
      <c r="H10" s="27">
        <v>19300</v>
      </c>
      <c r="I10" s="28"/>
      <c r="J10" s="29"/>
      <c r="K10" s="30"/>
      <c r="L10" s="31"/>
      <c r="M10" s="22"/>
      <c r="N10" s="32"/>
      <c r="O10" s="32"/>
      <c r="P10" s="32"/>
      <c r="Q10" s="32"/>
      <c r="R10" s="32"/>
      <c r="S10" s="32"/>
      <c r="T10" s="34"/>
      <c r="U10" s="34"/>
      <c r="V10" s="36" t="str">
        <f t="shared" si="0"/>
        <v>100</v>
      </c>
      <c r="W10" s="39">
        <f>COUNTIF('52-60'!$V$2:$V206,V10)-1</f>
        <v>-1</v>
      </c>
      <c r="X10" s="40"/>
      <c r="Y10" s="40"/>
      <c r="Z10" s="40"/>
    </row>
    <row r="11" spans="1:26" ht="18.75">
      <c r="A11" s="17"/>
      <c r="B11" s="20" t="s">
        <v>51</v>
      </c>
      <c r="C11" s="21" t="s">
        <v>25</v>
      </c>
      <c r="D11" s="21" t="s">
        <v>26</v>
      </c>
      <c r="E11" s="22"/>
      <c r="F11" s="24" t="s">
        <v>52</v>
      </c>
      <c r="G11" s="26" t="s">
        <v>53</v>
      </c>
      <c r="H11" s="27">
        <v>22000</v>
      </c>
      <c r="I11" s="28"/>
      <c r="J11" s="54" t="str">
        <f t="shared" ref="J11:J20" si="1">HYPERLINK("https://drive.google.com/open?id=1uRKauPNhvZ-Kx2o2zLSRMFbmPZrJaKkb","จากบัญชีของ สน.งปฯ ธ.ค.61")</f>
        <v>จากบัญชีของ สน.งปฯ ธ.ค.61</v>
      </c>
      <c r="K11" s="30"/>
      <c r="L11" s="31"/>
      <c r="M11" s="22"/>
      <c r="N11" s="32"/>
      <c r="O11" s="32"/>
      <c r="P11" s="32"/>
      <c r="Q11" s="32"/>
      <c r="R11" s="32"/>
      <c r="S11" s="32"/>
      <c r="T11" s="34"/>
      <c r="U11" s="34"/>
      <c r="V11" s="36" t="str">
        <f t="shared" si="0"/>
        <v>100</v>
      </c>
      <c r="W11" s="39">
        <f>COUNTIF('52-60'!$V$2:$V206,V11)-1</f>
        <v>-1</v>
      </c>
      <c r="X11" s="40"/>
      <c r="Y11" s="40"/>
      <c r="Z11" s="40"/>
    </row>
    <row r="12" spans="1:26" ht="18.75">
      <c r="A12" s="17"/>
      <c r="B12" s="20" t="s">
        <v>57</v>
      </c>
      <c r="C12" s="21" t="s">
        <v>25</v>
      </c>
      <c r="D12" s="21" t="s">
        <v>26</v>
      </c>
      <c r="E12" s="22"/>
      <c r="F12" s="24" t="s">
        <v>58</v>
      </c>
      <c r="G12" s="26" t="s">
        <v>53</v>
      </c>
      <c r="H12" s="27">
        <v>34000</v>
      </c>
      <c r="I12" s="28"/>
      <c r="J12" s="54" t="str">
        <f t="shared" si="1"/>
        <v>จากบัญชีของ สน.งปฯ ธ.ค.61</v>
      </c>
      <c r="K12" s="30"/>
      <c r="L12" s="31"/>
      <c r="M12" s="22"/>
      <c r="N12" s="32"/>
      <c r="O12" s="32"/>
      <c r="P12" s="32"/>
      <c r="Q12" s="32"/>
      <c r="R12" s="32"/>
      <c r="S12" s="32"/>
      <c r="T12" s="34"/>
      <c r="U12" s="34"/>
      <c r="V12" s="36" t="str">
        <f t="shared" si="0"/>
        <v>100</v>
      </c>
      <c r="W12" s="39">
        <f>COUNTIF('52-60'!$V$2:$V206,V12)-1</f>
        <v>-1</v>
      </c>
      <c r="X12" s="40"/>
      <c r="Y12" s="40"/>
      <c r="Z12" s="40"/>
    </row>
    <row r="13" spans="1:26" ht="37.5">
      <c r="A13" s="17"/>
      <c r="B13" s="20" t="s">
        <v>61</v>
      </c>
      <c r="C13" s="21" t="s">
        <v>25</v>
      </c>
      <c r="D13" s="21" t="s">
        <v>26</v>
      </c>
      <c r="E13" s="22"/>
      <c r="F13" s="24" t="s">
        <v>62</v>
      </c>
      <c r="G13" s="26" t="s">
        <v>53</v>
      </c>
      <c r="H13" s="27">
        <v>85000</v>
      </c>
      <c r="I13" s="28"/>
      <c r="J13" s="54" t="str">
        <f t="shared" si="1"/>
        <v>จากบัญชีของ สน.งปฯ ธ.ค.61</v>
      </c>
      <c r="K13" s="30"/>
      <c r="L13" s="31"/>
      <c r="M13" s="22"/>
      <c r="N13" s="32"/>
      <c r="O13" s="32"/>
      <c r="P13" s="32"/>
      <c r="Q13" s="32"/>
      <c r="R13" s="32"/>
      <c r="S13" s="32"/>
      <c r="T13" s="34"/>
      <c r="U13" s="34"/>
      <c r="V13" s="36" t="str">
        <f t="shared" si="0"/>
        <v>100</v>
      </c>
      <c r="W13" s="39">
        <f>COUNTIF('52-60'!$V$2:$V206,V13)-1</f>
        <v>-1</v>
      </c>
      <c r="X13" s="40"/>
      <c r="Y13" s="40"/>
      <c r="Z13" s="40"/>
    </row>
    <row r="14" spans="1:26" ht="37.5">
      <c r="A14" s="17"/>
      <c r="B14" s="20" t="s">
        <v>65</v>
      </c>
      <c r="C14" s="21" t="s">
        <v>25</v>
      </c>
      <c r="D14" s="21" t="s">
        <v>26</v>
      </c>
      <c r="E14" s="22"/>
      <c r="F14" s="24" t="s">
        <v>66</v>
      </c>
      <c r="G14" s="26" t="s">
        <v>53</v>
      </c>
      <c r="H14" s="27">
        <v>85000</v>
      </c>
      <c r="I14" s="28"/>
      <c r="J14" s="54" t="str">
        <f t="shared" si="1"/>
        <v>จากบัญชีของ สน.งปฯ ธ.ค.61</v>
      </c>
      <c r="K14" s="30"/>
      <c r="L14" s="31"/>
      <c r="M14" s="22"/>
      <c r="N14" s="32"/>
      <c r="O14" s="32"/>
      <c r="P14" s="32"/>
      <c r="Q14" s="32"/>
      <c r="R14" s="32"/>
      <c r="S14" s="32"/>
      <c r="T14" s="34"/>
      <c r="U14" s="34"/>
      <c r="V14" s="36" t="str">
        <f t="shared" si="0"/>
        <v>100</v>
      </c>
      <c r="W14" s="39">
        <f>COUNTIF('52-60'!$V$2:$V206,V14)-1</f>
        <v>-1</v>
      </c>
      <c r="X14" s="40"/>
      <c r="Y14" s="40"/>
      <c r="Z14" s="40"/>
    </row>
    <row r="15" spans="1:26" ht="37.5">
      <c r="A15" s="17"/>
      <c r="B15" s="20" t="s">
        <v>67</v>
      </c>
      <c r="C15" s="21" t="s">
        <v>25</v>
      </c>
      <c r="D15" s="21" t="s">
        <v>26</v>
      </c>
      <c r="E15" s="22"/>
      <c r="F15" s="24" t="s">
        <v>68</v>
      </c>
      <c r="G15" s="26" t="s">
        <v>53</v>
      </c>
      <c r="H15" s="27">
        <v>80000</v>
      </c>
      <c r="I15" s="28"/>
      <c r="J15" s="54" t="str">
        <f t="shared" si="1"/>
        <v>จากบัญชีของ สน.งปฯ ธ.ค.61</v>
      </c>
      <c r="K15" s="30"/>
      <c r="L15" s="31"/>
      <c r="M15" s="22"/>
      <c r="N15" s="32"/>
      <c r="O15" s="32"/>
      <c r="P15" s="32"/>
      <c r="Q15" s="32"/>
      <c r="R15" s="32"/>
      <c r="S15" s="32"/>
      <c r="T15" s="34"/>
      <c r="U15" s="34"/>
      <c r="V15" s="36" t="str">
        <f t="shared" si="0"/>
        <v>100</v>
      </c>
      <c r="W15" s="39">
        <f>COUNTIF('52-60'!$V$2:$V206,V15)-1</f>
        <v>-1</v>
      </c>
      <c r="X15" s="40"/>
      <c r="Y15" s="40"/>
      <c r="Z15" s="40"/>
    </row>
    <row r="16" spans="1:26" ht="37.5">
      <c r="A16" s="17"/>
      <c r="B16" s="20" t="s">
        <v>70</v>
      </c>
      <c r="C16" s="21" t="s">
        <v>25</v>
      </c>
      <c r="D16" s="21" t="s">
        <v>26</v>
      </c>
      <c r="E16" s="22"/>
      <c r="F16" s="24" t="s">
        <v>71</v>
      </c>
      <c r="G16" s="26" t="s">
        <v>53</v>
      </c>
      <c r="H16" s="27">
        <v>97000</v>
      </c>
      <c r="I16" s="28"/>
      <c r="J16" s="54" t="str">
        <f t="shared" si="1"/>
        <v>จากบัญชีของ สน.งปฯ ธ.ค.61</v>
      </c>
      <c r="K16" s="30"/>
      <c r="L16" s="31"/>
      <c r="M16" s="22"/>
      <c r="N16" s="32"/>
      <c r="O16" s="32"/>
      <c r="P16" s="32"/>
      <c r="Q16" s="32"/>
      <c r="R16" s="32"/>
      <c r="S16" s="32"/>
      <c r="T16" s="34"/>
      <c r="U16" s="34"/>
      <c r="V16" s="36" t="str">
        <f t="shared" si="0"/>
        <v>100</v>
      </c>
      <c r="W16" s="39">
        <f>COUNTIF('52-60'!$V$2:$V206,V16)-1</f>
        <v>-1</v>
      </c>
      <c r="X16" s="40"/>
      <c r="Y16" s="40"/>
      <c r="Z16" s="40"/>
    </row>
    <row r="17" spans="1:26" ht="37.5">
      <c r="A17" s="17"/>
      <c r="B17" s="20" t="s">
        <v>74</v>
      </c>
      <c r="C17" s="21" t="s">
        <v>25</v>
      </c>
      <c r="D17" s="21" t="s">
        <v>26</v>
      </c>
      <c r="E17" s="22"/>
      <c r="F17" s="24" t="s">
        <v>75</v>
      </c>
      <c r="G17" s="26" t="s">
        <v>53</v>
      </c>
      <c r="H17" s="27">
        <v>110000</v>
      </c>
      <c r="I17" s="28"/>
      <c r="J17" s="54" t="str">
        <f t="shared" si="1"/>
        <v>จากบัญชีของ สน.งปฯ ธ.ค.61</v>
      </c>
      <c r="K17" s="30"/>
      <c r="L17" s="31"/>
      <c r="M17" s="22"/>
      <c r="N17" s="32"/>
      <c r="O17" s="32"/>
      <c r="P17" s="32"/>
      <c r="Q17" s="32"/>
      <c r="R17" s="32"/>
      <c r="S17" s="32"/>
      <c r="T17" s="34"/>
      <c r="U17" s="34"/>
      <c r="V17" s="36" t="str">
        <f t="shared" si="0"/>
        <v>100</v>
      </c>
      <c r="W17" s="39">
        <f>COUNTIF('52-60'!$V$2:$V206,V17)-1</f>
        <v>-1</v>
      </c>
      <c r="X17" s="40"/>
      <c r="Y17" s="40"/>
      <c r="Z17" s="40"/>
    </row>
    <row r="18" spans="1:26" ht="37.5">
      <c r="A18" s="17"/>
      <c r="B18" s="20" t="s">
        <v>76</v>
      </c>
      <c r="C18" s="21" t="s">
        <v>25</v>
      </c>
      <c r="D18" s="21" t="s">
        <v>26</v>
      </c>
      <c r="E18" s="22"/>
      <c r="F18" s="24" t="s">
        <v>77</v>
      </c>
      <c r="G18" s="26" t="s">
        <v>78</v>
      </c>
      <c r="H18" s="27">
        <v>20600</v>
      </c>
      <c r="I18" s="28"/>
      <c r="J18" s="54" t="str">
        <f t="shared" si="1"/>
        <v>จากบัญชีของ สน.งปฯ ธ.ค.61</v>
      </c>
      <c r="K18" s="30"/>
      <c r="L18" s="31"/>
      <c r="M18" s="22"/>
      <c r="N18" s="32"/>
      <c r="O18" s="32"/>
      <c r="P18" s="32"/>
      <c r="Q18" s="32"/>
      <c r="R18" s="32"/>
      <c r="S18" s="32"/>
      <c r="T18" s="34"/>
      <c r="U18" s="34"/>
      <c r="V18" s="36" t="str">
        <f t="shared" si="0"/>
        <v>100</v>
      </c>
      <c r="W18" s="39">
        <f>COUNTIF('52-60'!$V$2:$V206,V18)-1</f>
        <v>-1</v>
      </c>
      <c r="X18" s="40"/>
      <c r="Y18" s="40"/>
      <c r="Z18" s="40"/>
    </row>
    <row r="19" spans="1:26" ht="37.5">
      <c r="A19" s="17"/>
      <c r="B19" s="20" t="s">
        <v>79</v>
      </c>
      <c r="C19" s="21" t="s">
        <v>25</v>
      </c>
      <c r="D19" s="21" t="s">
        <v>26</v>
      </c>
      <c r="E19" s="22"/>
      <c r="F19" s="24" t="s">
        <v>80</v>
      </c>
      <c r="G19" s="26" t="s">
        <v>78</v>
      </c>
      <c r="H19" s="27">
        <v>12000</v>
      </c>
      <c r="I19" s="28"/>
      <c r="J19" s="54" t="str">
        <f t="shared" si="1"/>
        <v>จากบัญชีของ สน.งปฯ ธ.ค.61</v>
      </c>
      <c r="K19" s="30"/>
      <c r="L19" s="31"/>
      <c r="M19" s="22"/>
      <c r="N19" s="32"/>
      <c r="O19" s="32"/>
      <c r="P19" s="32"/>
      <c r="Q19" s="32"/>
      <c r="R19" s="32"/>
      <c r="S19" s="32"/>
      <c r="T19" s="34"/>
      <c r="U19" s="34"/>
      <c r="V19" s="36" t="str">
        <f t="shared" si="0"/>
        <v>100</v>
      </c>
      <c r="W19" s="39">
        <f>COUNTIF('52-60'!$V$2:$V206,V19)-1</f>
        <v>-1</v>
      </c>
      <c r="X19" s="40"/>
      <c r="Y19" s="40"/>
      <c r="Z19" s="40"/>
    </row>
    <row r="20" spans="1:26" ht="18.75">
      <c r="A20" s="17"/>
      <c r="B20" s="20" t="s">
        <v>83</v>
      </c>
      <c r="C20" s="21" t="s">
        <v>25</v>
      </c>
      <c r="D20" s="21" t="s">
        <v>26</v>
      </c>
      <c r="E20" s="22"/>
      <c r="F20" s="24" t="s">
        <v>84</v>
      </c>
      <c r="G20" s="26" t="s">
        <v>78</v>
      </c>
      <c r="H20" s="27">
        <v>20800</v>
      </c>
      <c r="I20" s="28"/>
      <c r="J20" s="54" t="str">
        <f t="shared" si="1"/>
        <v>จากบัญชีของ สน.งปฯ ธ.ค.61</v>
      </c>
      <c r="K20" s="30"/>
      <c r="L20" s="31"/>
      <c r="M20" s="22"/>
      <c r="N20" s="32"/>
      <c r="O20" s="32"/>
      <c r="P20" s="32"/>
      <c r="Q20" s="32"/>
      <c r="R20" s="32"/>
      <c r="S20" s="32"/>
      <c r="T20" s="34"/>
      <c r="U20" s="34"/>
      <c r="V20" s="36" t="str">
        <f t="shared" si="0"/>
        <v>100</v>
      </c>
      <c r="W20" s="39">
        <f>COUNTIF('52-60'!$V$2:$V206,V20)-1</f>
        <v>-1</v>
      </c>
      <c r="X20" s="40"/>
      <c r="Y20" s="40"/>
      <c r="Z20" s="40"/>
    </row>
    <row r="21" spans="1:26" ht="18.75">
      <c r="A21" s="17"/>
      <c r="B21" s="20" t="s">
        <v>85</v>
      </c>
      <c r="C21" s="21" t="s">
        <v>25</v>
      </c>
      <c r="D21" s="21" t="s">
        <v>26</v>
      </c>
      <c r="E21" s="22"/>
      <c r="F21" s="24" t="s">
        <v>86</v>
      </c>
      <c r="G21" s="26" t="s">
        <v>78</v>
      </c>
      <c r="H21" s="27">
        <v>8000</v>
      </c>
      <c r="I21" s="28"/>
      <c r="J21" s="29"/>
      <c r="K21" s="30"/>
      <c r="L21" s="31"/>
      <c r="M21" s="22"/>
      <c r="N21" s="32"/>
      <c r="O21" s="32"/>
      <c r="P21" s="32"/>
      <c r="Q21" s="32"/>
      <c r="R21" s="32"/>
      <c r="S21" s="32"/>
      <c r="T21" s="34"/>
      <c r="U21" s="34"/>
      <c r="V21" s="36" t="str">
        <f t="shared" si="0"/>
        <v>100</v>
      </c>
      <c r="W21" s="39">
        <f>COUNTIF('52-60'!$V$2:$V206,V21)-1</f>
        <v>-1</v>
      </c>
      <c r="X21" s="40"/>
      <c r="Y21" s="40"/>
      <c r="Z21" s="40"/>
    </row>
    <row r="22" spans="1:26" ht="18.75">
      <c r="A22" s="17"/>
      <c r="B22" s="20" t="s">
        <v>87</v>
      </c>
      <c r="C22" s="21" t="s">
        <v>25</v>
      </c>
      <c r="D22" s="21" t="s">
        <v>26</v>
      </c>
      <c r="E22" s="22"/>
      <c r="F22" s="24" t="s">
        <v>88</v>
      </c>
      <c r="G22" s="26" t="s">
        <v>78</v>
      </c>
      <c r="H22" s="27">
        <v>20000</v>
      </c>
      <c r="I22" s="28"/>
      <c r="J22" s="29"/>
      <c r="K22" s="30"/>
      <c r="L22" s="31"/>
      <c r="M22" s="22"/>
      <c r="N22" s="32"/>
      <c r="O22" s="32"/>
      <c r="P22" s="32"/>
      <c r="Q22" s="32"/>
      <c r="R22" s="32"/>
      <c r="S22" s="32"/>
      <c r="T22" s="34"/>
      <c r="U22" s="34"/>
      <c r="V22" s="36" t="str">
        <f t="shared" si="0"/>
        <v>100</v>
      </c>
      <c r="W22" s="39">
        <f>COUNTIF('52-60'!$V$2:$V206,V22)-1</f>
        <v>-1</v>
      </c>
      <c r="X22" s="40"/>
      <c r="Y22" s="40"/>
      <c r="Z22" s="40"/>
    </row>
    <row r="23" spans="1:26" ht="18.75">
      <c r="A23" s="17"/>
      <c r="B23" s="20" t="s">
        <v>91</v>
      </c>
      <c r="C23" s="21" t="s">
        <v>25</v>
      </c>
      <c r="D23" s="21" t="s">
        <v>26</v>
      </c>
      <c r="E23" s="22"/>
      <c r="F23" s="24" t="s">
        <v>92</v>
      </c>
      <c r="G23" s="26" t="s">
        <v>78</v>
      </c>
      <c r="H23" s="27">
        <v>20000</v>
      </c>
      <c r="I23" s="28"/>
      <c r="J23" s="29"/>
      <c r="K23" s="30"/>
      <c r="L23" s="31"/>
      <c r="M23" s="22"/>
      <c r="N23" s="32"/>
      <c r="O23" s="32"/>
      <c r="P23" s="32"/>
      <c r="Q23" s="32"/>
      <c r="R23" s="32"/>
      <c r="S23" s="32"/>
      <c r="T23" s="34"/>
      <c r="U23" s="34"/>
      <c r="V23" s="36" t="str">
        <f t="shared" si="0"/>
        <v>100</v>
      </c>
      <c r="W23" s="39">
        <f>COUNTIF('52-60'!$V$2:$V206,V23)-1</f>
        <v>-1</v>
      </c>
      <c r="X23" s="40"/>
      <c r="Y23" s="40"/>
      <c r="Z23" s="40"/>
    </row>
    <row r="24" spans="1:26" ht="18.75">
      <c r="A24" s="17"/>
      <c r="B24" s="20" t="s">
        <v>93</v>
      </c>
      <c r="C24" s="21" t="s">
        <v>25</v>
      </c>
      <c r="D24" s="21" t="s">
        <v>26</v>
      </c>
      <c r="E24" s="22"/>
      <c r="F24" s="24" t="s">
        <v>94</v>
      </c>
      <c r="G24" s="26" t="s">
        <v>78</v>
      </c>
      <c r="H24" s="27">
        <v>24000</v>
      </c>
      <c r="I24" s="28"/>
      <c r="J24" s="29"/>
      <c r="K24" s="30"/>
      <c r="L24" s="31"/>
      <c r="M24" s="22"/>
      <c r="N24" s="32"/>
      <c r="O24" s="32"/>
      <c r="P24" s="32"/>
      <c r="Q24" s="32"/>
      <c r="R24" s="32"/>
      <c r="S24" s="32"/>
      <c r="T24" s="34"/>
      <c r="U24" s="34"/>
      <c r="V24" s="36" t="str">
        <f t="shared" si="0"/>
        <v>100</v>
      </c>
      <c r="W24" s="39">
        <f>COUNTIF('52-60'!$V$2:$V206,V24)-1</f>
        <v>-1</v>
      </c>
      <c r="X24" s="40"/>
      <c r="Y24" s="40"/>
      <c r="Z24" s="40"/>
    </row>
    <row r="25" spans="1:26" ht="18.75">
      <c r="A25" s="17"/>
      <c r="B25" s="20" t="s">
        <v>97</v>
      </c>
      <c r="C25" s="21" t="s">
        <v>25</v>
      </c>
      <c r="D25" s="21" t="s">
        <v>26</v>
      </c>
      <c r="E25" s="22"/>
      <c r="F25" s="24" t="s">
        <v>98</v>
      </c>
      <c r="G25" s="26" t="s">
        <v>78</v>
      </c>
      <c r="H25" s="27">
        <v>11400</v>
      </c>
      <c r="I25" s="28"/>
      <c r="J25" s="29"/>
      <c r="K25" s="30"/>
      <c r="L25" s="31"/>
      <c r="M25" s="22"/>
      <c r="N25" s="32"/>
      <c r="O25" s="32"/>
      <c r="P25" s="32"/>
      <c r="Q25" s="32"/>
      <c r="R25" s="32"/>
      <c r="S25" s="32"/>
      <c r="T25" s="34"/>
      <c r="U25" s="34"/>
      <c r="V25" s="36" t="str">
        <f t="shared" si="0"/>
        <v>100</v>
      </c>
      <c r="W25" s="39">
        <f>COUNTIF('52-60'!$V$2:$V206,V25)-1</f>
        <v>-1</v>
      </c>
      <c r="X25" s="40"/>
      <c r="Y25" s="40"/>
      <c r="Z25" s="40"/>
    </row>
    <row r="26" spans="1:26" ht="18.75">
      <c r="A26" s="17"/>
      <c r="B26" s="20" t="s">
        <v>101</v>
      </c>
      <c r="C26" s="21" t="s">
        <v>25</v>
      </c>
      <c r="D26" s="21" t="s">
        <v>26</v>
      </c>
      <c r="E26" s="22"/>
      <c r="F26" s="24" t="s">
        <v>102</v>
      </c>
      <c r="G26" s="26" t="s">
        <v>78</v>
      </c>
      <c r="H26" s="27">
        <v>15000</v>
      </c>
      <c r="I26" s="28"/>
      <c r="J26" s="29"/>
      <c r="K26" s="30"/>
      <c r="L26" s="31"/>
      <c r="M26" s="22"/>
      <c r="N26" s="32"/>
      <c r="O26" s="32"/>
      <c r="P26" s="32"/>
      <c r="Q26" s="32"/>
      <c r="R26" s="32"/>
      <c r="S26" s="32"/>
      <c r="T26" s="34"/>
      <c r="U26" s="34"/>
      <c r="V26" s="36" t="str">
        <f t="shared" si="0"/>
        <v>100</v>
      </c>
      <c r="W26" s="39">
        <f>COUNTIF('52-60'!$V$2:$V206,V26)-1</f>
        <v>-1</v>
      </c>
      <c r="X26" s="40"/>
      <c r="Y26" s="40"/>
      <c r="Z26" s="40"/>
    </row>
    <row r="27" spans="1:26" ht="18.75">
      <c r="A27" s="17"/>
      <c r="B27" s="20" t="s">
        <v>103</v>
      </c>
      <c r="C27" s="21" t="s">
        <v>25</v>
      </c>
      <c r="D27" s="21" t="s">
        <v>26</v>
      </c>
      <c r="E27" s="22"/>
      <c r="F27" s="24" t="s">
        <v>104</v>
      </c>
      <c r="G27" s="26" t="s">
        <v>78</v>
      </c>
      <c r="H27" s="27">
        <v>19800</v>
      </c>
      <c r="I27" s="28"/>
      <c r="J27" s="29"/>
      <c r="K27" s="30"/>
      <c r="L27" s="31"/>
      <c r="M27" s="22"/>
      <c r="N27" s="32"/>
      <c r="O27" s="32"/>
      <c r="P27" s="32"/>
      <c r="Q27" s="32"/>
      <c r="R27" s="32"/>
      <c r="S27" s="32"/>
      <c r="T27" s="34"/>
      <c r="U27" s="34"/>
      <c r="V27" s="36" t="str">
        <f t="shared" si="0"/>
        <v>100</v>
      </c>
      <c r="W27" s="39">
        <f>COUNTIF('52-60'!$V$2:$V206,V27)-1</f>
        <v>-1</v>
      </c>
      <c r="X27" s="40"/>
      <c r="Y27" s="40"/>
      <c r="Z27" s="40"/>
    </row>
    <row r="28" spans="1:26" ht="18.75">
      <c r="A28" s="17"/>
      <c r="B28" s="20" t="s">
        <v>107</v>
      </c>
      <c r="C28" s="21" t="s">
        <v>25</v>
      </c>
      <c r="D28" s="21" t="s">
        <v>26</v>
      </c>
      <c r="E28" s="22"/>
      <c r="F28" s="24" t="s">
        <v>108</v>
      </c>
      <c r="G28" s="26" t="s">
        <v>78</v>
      </c>
      <c r="H28" s="27">
        <v>22000</v>
      </c>
      <c r="I28" s="28"/>
      <c r="J28" s="29"/>
      <c r="K28" s="30"/>
      <c r="L28" s="31"/>
      <c r="M28" s="22"/>
      <c r="N28" s="32"/>
      <c r="O28" s="32"/>
      <c r="P28" s="32"/>
      <c r="Q28" s="32"/>
      <c r="R28" s="32"/>
      <c r="S28" s="32"/>
      <c r="T28" s="34"/>
      <c r="U28" s="34"/>
      <c r="V28" s="36" t="str">
        <f t="shared" si="0"/>
        <v>100</v>
      </c>
      <c r="W28" s="39">
        <f>COUNTIF('52-60'!$V$2:$V206,V28)-1</f>
        <v>-1</v>
      </c>
      <c r="X28" s="40"/>
      <c r="Y28" s="40"/>
      <c r="Z28" s="40"/>
    </row>
    <row r="29" spans="1:26" ht="18.75">
      <c r="A29" s="17"/>
      <c r="B29" s="20" t="s">
        <v>111</v>
      </c>
      <c r="C29" s="21" t="s">
        <v>25</v>
      </c>
      <c r="D29" s="21" t="s">
        <v>26</v>
      </c>
      <c r="E29" s="22"/>
      <c r="F29" s="24" t="s">
        <v>112</v>
      </c>
      <c r="G29" s="26" t="s">
        <v>78</v>
      </c>
      <c r="H29" s="27">
        <v>18000</v>
      </c>
      <c r="I29" s="28"/>
      <c r="J29" s="29"/>
      <c r="K29" s="30"/>
      <c r="L29" s="31"/>
      <c r="M29" s="22"/>
      <c r="N29" s="32"/>
      <c r="O29" s="32"/>
      <c r="P29" s="32"/>
      <c r="Q29" s="32"/>
      <c r="R29" s="32"/>
      <c r="S29" s="32"/>
      <c r="T29" s="34"/>
      <c r="U29" s="34"/>
      <c r="V29" s="36" t="str">
        <f t="shared" si="0"/>
        <v>100</v>
      </c>
      <c r="W29" s="39">
        <f>COUNTIF('52-60'!$V$2:$V206,V29)-1</f>
        <v>-1</v>
      </c>
      <c r="X29" s="40"/>
      <c r="Y29" s="40"/>
      <c r="Z29" s="40"/>
    </row>
    <row r="30" spans="1:26" ht="18.75">
      <c r="A30" s="17"/>
      <c r="B30" s="20" t="s">
        <v>113</v>
      </c>
      <c r="C30" s="21" t="s">
        <v>25</v>
      </c>
      <c r="D30" s="21" t="s">
        <v>26</v>
      </c>
      <c r="E30" s="22"/>
      <c r="F30" s="24" t="s">
        <v>114</v>
      </c>
      <c r="G30" s="26" t="s">
        <v>78</v>
      </c>
      <c r="H30" s="27">
        <v>760000</v>
      </c>
      <c r="I30" s="28"/>
      <c r="J30" s="29"/>
      <c r="K30" s="30"/>
      <c r="L30" s="31"/>
      <c r="M30" s="22"/>
      <c r="N30" s="32"/>
      <c r="O30" s="32"/>
      <c r="P30" s="32"/>
      <c r="Q30" s="32"/>
      <c r="R30" s="32"/>
      <c r="S30" s="32"/>
      <c r="T30" s="34"/>
      <c r="U30" s="34"/>
      <c r="V30" s="36" t="str">
        <f t="shared" si="0"/>
        <v>100</v>
      </c>
      <c r="W30" s="39">
        <f>COUNTIF('52-60'!$V$2:$V206,V30)-1</f>
        <v>-1</v>
      </c>
      <c r="X30" s="40"/>
      <c r="Y30" s="40"/>
      <c r="Z30" s="40"/>
    </row>
    <row r="31" spans="1:26" ht="18.75">
      <c r="A31" s="17"/>
      <c r="B31" s="20" t="s">
        <v>117</v>
      </c>
      <c r="C31" s="21" t="s">
        <v>25</v>
      </c>
      <c r="D31" s="21" t="s">
        <v>26</v>
      </c>
      <c r="E31" s="22"/>
      <c r="F31" s="24" t="s">
        <v>118</v>
      </c>
      <c r="G31" s="26" t="s">
        <v>78</v>
      </c>
      <c r="H31" s="27">
        <v>1350000</v>
      </c>
      <c r="I31" s="28"/>
      <c r="J31" s="29"/>
      <c r="K31" s="30"/>
      <c r="L31" s="31"/>
      <c r="M31" s="22"/>
      <c r="N31" s="32"/>
      <c r="O31" s="32"/>
      <c r="P31" s="32"/>
      <c r="Q31" s="32"/>
      <c r="R31" s="32"/>
      <c r="S31" s="32"/>
      <c r="T31" s="34"/>
      <c r="U31" s="34"/>
      <c r="V31" s="36" t="str">
        <f t="shared" si="0"/>
        <v>100</v>
      </c>
      <c r="W31" s="39">
        <f>COUNTIF('52-60'!$V$2:$V206,V31)-1</f>
        <v>-1</v>
      </c>
      <c r="X31" s="40"/>
      <c r="Y31" s="40"/>
      <c r="Z31" s="40"/>
    </row>
    <row r="32" spans="1:26" ht="18.75">
      <c r="A32" s="17"/>
      <c r="B32" s="20" t="s">
        <v>121</v>
      </c>
      <c r="C32" s="21" t="s">
        <v>25</v>
      </c>
      <c r="D32" s="21" t="s">
        <v>26</v>
      </c>
      <c r="E32" s="22"/>
      <c r="F32" s="24" t="s">
        <v>122</v>
      </c>
      <c r="G32" s="26" t="s">
        <v>78</v>
      </c>
      <c r="H32" s="27">
        <v>2800000</v>
      </c>
      <c r="I32" s="28"/>
      <c r="J32" s="29"/>
      <c r="K32" s="30"/>
      <c r="L32" s="31"/>
      <c r="M32" s="22"/>
      <c r="N32" s="32"/>
      <c r="O32" s="32"/>
      <c r="P32" s="32"/>
      <c r="Q32" s="32"/>
      <c r="R32" s="32"/>
      <c r="S32" s="32"/>
      <c r="T32" s="34"/>
      <c r="U32" s="34"/>
      <c r="V32" s="36" t="str">
        <f t="shared" si="0"/>
        <v>100</v>
      </c>
      <c r="W32" s="39">
        <f>COUNTIF('52-60'!$V$2:$V206,V32)-1</f>
        <v>-1</v>
      </c>
      <c r="X32" s="40"/>
      <c r="Y32" s="40"/>
      <c r="Z32" s="40"/>
    </row>
    <row r="33" spans="1:26" ht="18.75">
      <c r="A33" s="17"/>
      <c r="B33" s="20" t="s">
        <v>123</v>
      </c>
      <c r="C33" s="21" t="s">
        <v>25</v>
      </c>
      <c r="D33" s="21" t="s">
        <v>26</v>
      </c>
      <c r="E33" s="22"/>
      <c r="F33" s="24" t="s">
        <v>124</v>
      </c>
      <c r="G33" s="26" t="s">
        <v>78</v>
      </c>
      <c r="H33" s="27">
        <v>268000</v>
      </c>
      <c r="I33" s="28"/>
      <c r="J33" s="29"/>
      <c r="K33" s="30"/>
      <c r="L33" s="31"/>
      <c r="M33" s="22"/>
      <c r="N33" s="32"/>
      <c r="O33" s="32"/>
      <c r="P33" s="32"/>
      <c r="Q33" s="32"/>
      <c r="R33" s="32"/>
      <c r="S33" s="32"/>
      <c r="T33" s="34"/>
      <c r="U33" s="34"/>
      <c r="V33" s="36" t="str">
        <f t="shared" si="0"/>
        <v>100</v>
      </c>
      <c r="W33" s="39">
        <f>COUNTIF('52-60'!$V$2:$V206,V33)-1</f>
        <v>-1</v>
      </c>
      <c r="X33" s="40"/>
      <c r="Y33" s="40"/>
      <c r="Z33" s="40"/>
    </row>
    <row r="34" spans="1:26" ht="18.75">
      <c r="A34" s="17"/>
      <c r="B34" s="20" t="s">
        <v>127</v>
      </c>
      <c r="C34" s="21" t="s">
        <v>25</v>
      </c>
      <c r="D34" s="21" t="s">
        <v>26</v>
      </c>
      <c r="E34" s="22"/>
      <c r="F34" s="24" t="s">
        <v>128</v>
      </c>
      <c r="G34" s="26" t="s">
        <v>78</v>
      </c>
      <c r="H34" s="27">
        <v>19000</v>
      </c>
      <c r="I34" s="28"/>
      <c r="J34" s="29"/>
      <c r="K34" s="30"/>
      <c r="L34" s="31"/>
      <c r="M34" s="22"/>
      <c r="N34" s="32"/>
      <c r="O34" s="32"/>
      <c r="P34" s="32"/>
      <c r="Q34" s="32"/>
      <c r="R34" s="32"/>
      <c r="S34" s="32"/>
      <c r="T34" s="34"/>
      <c r="U34" s="34"/>
      <c r="V34" s="36" t="str">
        <f t="shared" si="0"/>
        <v>100</v>
      </c>
      <c r="W34" s="39">
        <f>COUNTIF('52-60'!$V$2:$V206,V34)-1</f>
        <v>-1</v>
      </c>
      <c r="X34" s="40"/>
      <c r="Y34" s="40"/>
      <c r="Z34" s="40"/>
    </row>
    <row r="35" spans="1:26" ht="18.75">
      <c r="A35" s="17"/>
      <c r="B35" s="20" t="s">
        <v>129</v>
      </c>
      <c r="C35" s="21" t="s">
        <v>25</v>
      </c>
      <c r="D35" s="21" t="s">
        <v>26</v>
      </c>
      <c r="E35" s="22"/>
      <c r="F35" s="24" t="s">
        <v>130</v>
      </c>
      <c r="G35" s="26" t="s">
        <v>78</v>
      </c>
      <c r="H35" s="27">
        <v>13000</v>
      </c>
      <c r="I35" s="28"/>
      <c r="J35" s="54" t="str">
        <f>HYPERLINK("https://drive.google.com/open?id=1uRKauPNhvZ-Kx2o2zLSRMFbmPZrJaKkb","จากบัญชีของ สน.งปฯ ธ.ค.61")</f>
        <v>จากบัญชีของ สน.งปฯ ธ.ค.61</v>
      </c>
      <c r="K35" s="30"/>
      <c r="L35" s="31"/>
      <c r="M35" s="22"/>
      <c r="N35" s="32"/>
      <c r="O35" s="32"/>
      <c r="P35" s="32"/>
      <c r="Q35" s="32"/>
      <c r="R35" s="32"/>
      <c r="S35" s="32"/>
      <c r="T35" s="34"/>
      <c r="U35" s="34"/>
      <c r="V35" s="36" t="str">
        <f t="shared" si="0"/>
        <v>100</v>
      </c>
      <c r="W35" s="39">
        <f>COUNTIF('52-60'!$V$2:$V206,V35)-1</f>
        <v>-1</v>
      </c>
      <c r="X35" s="40"/>
      <c r="Y35" s="40"/>
      <c r="Z35" s="40"/>
    </row>
    <row r="36" spans="1:26" ht="18.75">
      <c r="A36" s="17"/>
      <c r="B36" s="20" t="s">
        <v>133</v>
      </c>
      <c r="C36" s="21" t="s">
        <v>25</v>
      </c>
      <c r="D36" s="21" t="s">
        <v>26</v>
      </c>
      <c r="E36" s="22"/>
      <c r="F36" s="24" t="s">
        <v>134</v>
      </c>
      <c r="G36" s="26" t="s">
        <v>78</v>
      </c>
      <c r="H36" s="27">
        <v>14000</v>
      </c>
      <c r="I36" s="28"/>
      <c r="J36" s="54" t="str">
        <f>HYPERLINK("https://drive.google.com/open?id=1uRKauPNhvZ-Kx2o2zLSRMFbmPZrJaKkb","จากบัญชีของ สน.งปฯ ธ.ค.61")</f>
        <v>จากบัญชีของ สน.งปฯ ธ.ค.61</v>
      </c>
      <c r="K36" s="30"/>
      <c r="L36" s="31"/>
      <c r="M36" s="22"/>
      <c r="N36" s="32"/>
      <c r="O36" s="32"/>
      <c r="P36" s="32"/>
      <c r="Q36" s="32"/>
      <c r="R36" s="32"/>
      <c r="S36" s="32"/>
      <c r="T36" s="34"/>
      <c r="U36" s="34"/>
      <c r="V36" s="36" t="str">
        <f t="shared" si="0"/>
        <v>100</v>
      </c>
      <c r="W36" s="39">
        <f>COUNTIF('52-60'!$V$2:$V206,V36)-1</f>
        <v>-1</v>
      </c>
      <c r="X36" s="40"/>
      <c r="Y36" s="40"/>
      <c r="Z36" s="40"/>
    </row>
    <row r="37" spans="1:26" ht="18.75">
      <c r="A37" s="17"/>
      <c r="B37" s="20" t="s">
        <v>137</v>
      </c>
      <c r="C37" s="21" t="s">
        <v>25</v>
      </c>
      <c r="D37" s="21" t="s">
        <v>26</v>
      </c>
      <c r="E37" s="22"/>
      <c r="F37" s="24" t="s">
        <v>138</v>
      </c>
      <c r="G37" s="26" t="s">
        <v>78</v>
      </c>
      <c r="H37" s="27">
        <v>11000</v>
      </c>
      <c r="I37" s="28"/>
      <c r="J37" s="29"/>
      <c r="K37" s="30"/>
      <c r="L37" s="31"/>
      <c r="M37" s="22"/>
      <c r="N37" s="32"/>
      <c r="O37" s="32"/>
      <c r="P37" s="32"/>
      <c r="Q37" s="32"/>
      <c r="R37" s="32"/>
      <c r="S37" s="32"/>
      <c r="T37" s="34"/>
      <c r="U37" s="34"/>
      <c r="V37" s="36" t="str">
        <f t="shared" si="0"/>
        <v>100</v>
      </c>
      <c r="W37" s="39">
        <f>COUNTIF('52-60'!$V$2:$V206,V37)-1</f>
        <v>-1</v>
      </c>
      <c r="X37" s="40"/>
      <c r="Y37" s="40"/>
      <c r="Z37" s="40"/>
    </row>
    <row r="38" spans="1:26" ht="18.75">
      <c r="A38" s="17"/>
      <c r="B38" s="20" t="s">
        <v>140</v>
      </c>
      <c r="C38" s="21" t="s">
        <v>25</v>
      </c>
      <c r="D38" s="21" t="s">
        <v>26</v>
      </c>
      <c r="E38" s="22"/>
      <c r="F38" s="24" t="s">
        <v>141</v>
      </c>
      <c r="G38" s="26" t="s">
        <v>78</v>
      </c>
      <c r="H38" s="27">
        <v>21000</v>
      </c>
      <c r="I38" s="28"/>
      <c r="J38" s="54" t="str">
        <f>HYPERLINK("https://drive.google.com/open?id=1uRKauPNhvZ-Kx2o2zLSRMFbmPZrJaKkb","จากบัญชีของ สน.งปฯ ธ.ค.61")</f>
        <v>จากบัญชีของ สน.งปฯ ธ.ค.61</v>
      </c>
      <c r="K38" s="30"/>
      <c r="L38" s="31"/>
      <c r="M38" s="22"/>
      <c r="N38" s="32"/>
      <c r="O38" s="32"/>
      <c r="P38" s="32"/>
      <c r="Q38" s="32"/>
      <c r="R38" s="32"/>
      <c r="S38" s="32"/>
      <c r="T38" s="34"/>
      <c r="U38" s="34"/>
      <c r="V38" s="36" t="str">
        <f t="shared" si="0"/>
        <v>100</v>
      </c>
      <c r="W38" s="39">
        <f>COUNTIF('52-60'!$V$2:$V206,V38)-1</f>
        <v>-1</v>
      </c>
      <c r="X38" s="40"/>
      <c r="Y38" s="40"/>
      <c r="Z38" s="40"/>
    </row>
    <row r="39" spans="1:26" ht="18.75">
      <c r="A39" s="17"/>
      <c r="B39" s="20" t="s">
        <v>142</v>
      </c>
      <c r="C39" s="21" t="s">
        <v>25</v>
      </c>
      <c r="D39" s="21" t="s">
        <v>26</v>
      </c>
      <c r="E39" s="22"/>
      <c r="F39" s="24" t="s">
        <v>143</v>
      </c>
      <c r="G39" s="26" t="s">
        <v>78</v>
      </c>
      <c r="H39" s="27">
        <v>19500</v>
      </c>
      <c r="I39" s="28"/>
      <c r="J39" s="54" t="str">
        <f>HYPERLINK("https://drive.google.com/open?id=1uRKauPNhvZ-Kx2o2zLSRMFbmPZrJaKkb","จากบัญชีของ สน.งปฯ ธ.ค.61")</f>
        <v>จากบัญชีของ สน.งปฯ ธ.ค.61</v>
      </c>
      <c r="K39" s="30"/>
      <c r="L39" s="31"/>
      <c r="M39" s="22"/>
      <c r="N39" s="32"/>
      <c r="O39" s="32"/>
      <c r="P39" s="32"/>
      <c r="Q39" s="32"/>
      <c r="R39" s="32"/>
      <c r="S39" s="32"/>
      <c r="T39" s="34"/>
      <c r="U39" s="34"/>
      <c r="V39" s="36" t="str">
        <f t="shared" si="0"/>
        <v>100</v>
      </c>
      <c r="W39" s="39">
        <f>COUNTIF('52-60'!$V$2:$V206,V39)-1</f>
        <v>-1</v>
      </c>
      <c r="X39" s="40"/>
      <c r="Y39" s="40"/>
      <c r="Z39" s="40"/>
    </row>
    <row r="40" spans="1:26" ht="18.75">
      <c r="A40" s="17"/>
      <c r="B40" s="20" t="s">
        <v>146</v>
      </c>
      <c r="C40" s="21" t="s">
        <v>25</v>
      </c>
      <c r="D40" s="21" t="s">
        <v>26</v>
      </c>
      <c r="E40" s="22"/>
      <c r="F40" s="24" t="s">
        <v>147</v>
      </c>
      <c r="G40" s="26" t="s">
        <v>78</v>
      </c>
      <c r="H40" s="27">
        <v>10200</v>
      </c>
      <c r="I40" s="28"/>
      <c r="J40" s="29"/>
      <c r="K40" s="30"/>
      <c r="L40" s="31"/>
      <c r="M40" s="22"/>
      <c r="N40" s="32"/>
      <c r="O40" s="32"/>
      <c r="P40" s="32"/>
      <c r="Q40" s="32"/>
      <c r="R40" s="32"/>
      <c r="S40" s="32"/>
      <c r="T40" s="34"/>
      <c r="U40" s="34"/>
      <c r="V40" s="36" t="str">
        <f t="shared" si="0"/>
        <v>100</v>
      </c>
      <c r="W40" s="39">
        <f>COUNTIF('52-60'!$V$2:$V206,V40)-1</f>
        <v>-1</v>
      </c>
      <c r="X40" s="40"/>
      <c r="Y40" s="40"/>
      <c r="Z40" s="40"/>
    </row>
    <row r="41" spans="1:26" ht="18.75">
      <c r="A41" s="17"/>
      <c r="B41" s="20" t="s">
        <v>148</v>
      </c>
      <c r="C41" s="21" t="s">
        <v>25</v>
      </c>
      <c r="D41" s="21" t="s">
        <v>26</v>
      </c>
      <c r="E41" s="22"/>
      <c r="F41" s="24" t="s">
        <v>149</v>
      </c>
      <c r="G41" s="26" t="s">
        <v>78</v>
      </c>
      <c r="H41" s="27">
        <v>17600</v>
      </c>
      <c r="I41" s="28"/>
      <c r="J41" s="29"/>
      <c r="K41" s="30"/>
      <c r="L41" s="31"/>
      <c r="M41" s="22"/>
      <c r="N41" s="32"/>
      <c r="O41" s="32"/>
      <c r="P41" s="32"/>
      <c r="Q41" s="32"/>
      <c r="R41" s="32"/>
      <c r="S41" s="32"/>
      <c r="T41" s="34"/>
      <c r="U41" s="34"/>
      <c r="V41" s="36" t="str">
        <f t="shared" si="0"/>
        <v>100</v>
      </c>
      <c r="W41" s="39">
        <f>COUNTIF('52-60'!$V$2:$V206,V41)-1</f>
        <v>-1</v>
      </c>
      <c r="X41" s="40"/>
      <c r="Y41" s="40"/>
      <c r="Z41" s="40"/>
    </row>
    <row r="42" spans="1:26" ht="18.75">
      <c r="A42" s="17"/>
      <c r="B42" s="20" t="s">
        <v>151</v>
      </c>
      <c r="C42" s="21" t="s">
        <v>25</v>
      </c>
      <c r="D42" s="21" t="s">
        <v>26</v>
      </c>
      <c r="E42" s="22"/>
      <c r="F42" s="24" t="s">
        <v>152</v>
      </c>
      <c r="G42" s="26" t="s">
        <v>78</v>
      </c>
      <c r="H42" s="27">
        <v>9500</v>
      </c>
      <c r="I42" s="28"/>
      <c r="J42" s="29"/>
      <c r="K42" s="30"/>
      <c r="L42" s="31"/>
      <c r="M42" s="22"/>
      <c r="N42" s="32"/>
      <c r="O42" s="32"/>
      <c r="P42" s="32"/>
      <c r="Q42" s="32"/>
      <c r="R42" s="32"/>
      <c r="S42" s="32"/>
      <c r="T42" s="34"/>
      <c r="U42" s="34"/>
      <c r="V42" s="36" t="str">
        <f t="shared" si="0"/>
        <v>100</v>
      </c>
      <c r="W42" s="39">
        <f>COUNTIF('52-60'!$V$2:$V206,V42)-1</f>
        <v>-1</v>
      </c>
      <c r="X42" s="40"/>
      <c r="Y42" s="40"/>
      <c r="Z42" s="40"/>
    </row>
    <row r="43" spans="1:26" ht="18.75">
      <c r="A43" s="17"/>
      <c r="B43" s="20" t="s">
        <v>155</v>
      </c>
      <c r="C43" s="21" t="s">
        <v>25</v>
      </c>
      <c r="D43" s="21" t="s">
        <v>26</v>
      </c>
      <c r="E43" s="22"/>
      <c r="F43" s="24" t="s">
        <v>156</v>
      </c>
      <c r="G43" s="26" t="s">
        <v>78</v>
      </c>
      <c r="H43" s="27">
        <v>11000</v>
      </c>
      <c r="I43" s="28"/>
      <c r="J43" s="29"/>
      <c r="K43" s="30"/>
      <c r="L43" s="31"/>
      <c r="M43" s="22"/>
      <c r="N43" s="32"/>
      <c r="O43" s="32"/>
      <c r="P43" s="32"/>
      <c r="Q43" s="32"/>
      <c r="R43" s="32"/>
      <c r="S43" s="32"/>
      <c r="T43" s="34"/>
      <c r="U43" s="34"/>
      <c r="V43" s="36" t="str">
        <f t="shared" si="0"/>
        <v>100</v>
      </c>
      <c r="W43" s="39">
        <f>COUNTIF('52-60'!$V$2:$V206,V43)-1</f>
        <v>-1</v>
      </c>
      <c r="X43" s="40"/>
      <c r="Y43" s="40"/>
      <c r="Z43" s="40"/>
    </row>
    <row r="44" spans="1:26" ht="18.75">
      <c r="A44" s="17"/>
      <c r="B44" s="20" t="s">
        <v>160</v>
      </c>
      <c r="C44" s="21" t="s">
        <v>25</v>
      </c>
      <c r="D44" s="21" t="s">
        <v>26</v>
      </c>
      <c r="E44" s="22"/>
      <c r="F44" s="24" t="s">
        <v>161</v>
      </c>
      <c r="G44" s="26" t="s">
        <v>78</v>
      </c>
      <c r="H44" s="27">
        <v>13000</v>
      </c>
      <c r="I44" s="28"/>
      <c r="J44" s="29"/>
      <c r="K44" s="30"/>
      <c r="L44" s="31"/>
      <c r="M44" s="22"/>
      <c r="N44" s="32"/>
      <c r="O44" s="32"/>
      <c r="P44" s="32"/>
      <c r="Q44" s="32"/>
      <c r="R44" s="32"/>
      <c r="S44" s="32"/>
      <c r="T44" s="34"/>
      <c r="U44" s="34"/>
      <c r="V44" s="36" t="str">
        <f t="shared" si="0"/>
        <v>100</v>
      </c>
      <c r="W44" s="39">
        <f>COUNTIF('52-60'!$V$2:$V206,V44)-1</f>
        <v>-1</v>
      </c>
      <c r="X44" s="40"/>
      <c r="Y44" s="40"/>
      <c r="Z44" s="40"/>
    </row>
    <row r="45" spans="1:26" ht="18.75">
      <c r="A45" s="17"/>
      <c r="B45" s="20" t="s">
        <v>164</v>
      </c>
      <c r="C45" s="21" t="s">
        <v>25</v>
      </c>
      <c r="D45" s="21" t="s">
        <v>26</v>
      </c>
      <c r="E45" s="22"/>
      <c r="F45" s="24" t="s">
        <v>165</v>
      </c>
      <c r="G45" s="26" t="s">
        <v>78</v>
      </c>
      <c r="H45" s="27">
        <v>182000</v>
      </c>
      <c r="I45" s="28"/>
      <c r="J45" s="29"/>
      <c r="K45" s="30"/>
      <c r="L45" s="31"/>
      <c r="M45" s="22"/>
      <c r="N45" s="32"/>
      <c r="O45" s="32"/>
      <c r="P45" s="32"/>
      <c r="Q45" s="32"/>
      <c r="R45" s="32"/>
      <c r="S45" s="32"/>
      <c r="T45" s="34"/>
      <c r="U45" s="34"/>
      <c r="V45" s="36" t="str">
        <f t="shared" si="0"/>
        <v>100</v>
      </c>
      <c r="W45" s="39">
        <f>COUNTIF('52-60'!$V$2:$V206,V45)-1</f>
        <v>-1</v>
      </c>
      <c r="X45" s="40"/>
      <c r="Y45" s="40"/>
      <c r="Z45" s="40"/>
    </row>
    <row r="46" spans="1:26" ht="18.75">
      <c r="A46" s="17"/>
      <c r="B46" s="20" t="s">
        <v>166</v>
      </c>
      <c r="C46" s="21" t="s">
        <v>25</v>
      </c>
      <c r="D46" s="21" t="s">
        <v>26</v>
      </c>
      <c r="E46" s="22"/>
      <c r="F46" s="24" t="s">
        <v>167</v>
      </c>
      <c r="G46" s="26" t="s">
        <v>78</v>
      </c>
      <c r="H46" s="27">
        <v>12000</v>
      </c>
      <c r="I46" s="28"/>
      <c r="J46" s="29"/>
      <c r="K46" s="30"/>
      <c r="L46" s="31"/>
      <c r="M46" s="22"/>
      <c r="N46" s="32"/>
      <c r="O46" s="32"/>
      <c r="P46" s="32"/>
      <c r="Q46" s="32"/>
      <c r="R46" s="32"/>
      <c r="S46" s="32"/>
      <c r="T46" s="34"/>
      <c r="U46" s="34"/>
      <c r="V46" s="36" t="str">
        <f t="shared" si="0"/>
        <v>100</v>
      </c>
      <c r="W46" s="39">
        <f>COUNTIF('52-60'!$V$2:$V206,V46)-1</f>
        <v>-1</v>
      </c>
      <c r="X46" s="40"/>
      <c r="Y46" s="40"/>
      <c r="Z46" s="40"/>
    </row>
    <row r="47" spans="1:26" ht="18.75">
      <c r="A47" s="17"/>
      <c r="B47" s="20" t="s">
        <v>168</v>
      </c>
      <c r="C47" s="21" t="s">
        <v>25</v>
      </c>
      <c r="D47" s="21" t="s">
        <v>26</v>
      </c>
      <c r="E47" s="22"/>
      <c r="F47" s="24" t="s">
        <v>169</v>
      </c>
      <c r="G47" s="26" t="s">
        <v>78</v>
      </c>
      <c r="H47" s="27">
        <v>15000</v>
      </c>
      <c r="I47" s="28"/>
      <c r="J47" s="54" t="str">
        <f t="shared" ref="J47:J57" si="2">HYPERLINK("https://drive.google.com/open?id=1uRKauPNhvZ-Kx2o2zLSRMFbmPZrJaKkb","จากบัญชีของ สน.งปฯ ธ.ค.61")</f>
        <v>จากบัญชีของ สน.งปฯ ธ.ค.61</v>
      </c>
      <c r="K47" s="30"/>
      <c r="L47" s="31"/>
      <c r="M47" s="22"/>
      <c r="N47" s="32"/>
      <c r="O47" s="32"/>
      <c r="P47" s="32"/>
      <c r="Q47" s="32"/>
      <c r="R47" s="32"/>
      <c r="S47" s="32"/>
      <c r="T47" s="34"/>
      <c r="U47" s="34"/>
      <c r="V47" s="36" t="str">
        <f t="shared" si="0"/>
        <v>100</v>
      </c>
      <c r="W47" s="39">
        <f>COUNTIF('52-60'!$V$2:$V206,V47)-1</f>
        <v>-1</v>
      </c>
      <c r="X47" s="40"/>
      <c r="Y47" s="40"/>
      <c r="Z47" s="40"/>
    </row>
    <row r="48" spans="1:26" ht="18.75">
      <c r="A48" s="17"/>
      <c r="B48" s="20" t="s">
        <v>170</v>
      </c>
      <c r="C48" s="21" t="s">
        <v>25</v>
      </c>
      <c r="D48" s="21" t="s">
        <v>26</v>
      </c>
      <c r="E48" s="22"/>
      <c r="F48" s="24" t="s">
        <v>171</v>
      </c>
      <c r="G48" s="26" t="s">
        <v>78</v>
      </c>
      <c r="H48" s="27">
        <v>18000</v>
      </c>
      <c r="I48" s="28"/>
      <c r="J48" s="54" t="str">
        <f t="shared" si="2"/>
        <v>จากบัญชีของ สน.งปฯ ธ.ค.61</v>
      </c>
      <c r="K48" s="30"/>
      <c r="L48" s="31"/>
      <c r="M48" s="22"/>
      <c r="N48" s="32"/>
      <c r="O48" s="32"/>
      <c r="P48" s="32"/>
      <c r="Q48" s="32"/>
      <c r="R48" s="32"/>
      <c r="S48" s="32"/>
      <c r="T48" s="34"/>
      <c r="U48" s="34"/>
      <c r="V48" s="36" t="str">
        <f t="shared" si="0"/>
        <v>100</v>
      </c>
      <c r="W48" s="39">
        <f>COUNTIF('52-60'!$V$2:$V206,V48)-1</f>
        <v>-1</v>
      </c>
      <c r="X48" s="40"/>
      <c r="Y48" s="40"/>
      <c r="Z48" s="40"/>
    </row>
    <row r="49" spans="1:26" ht="37.5">
      <c r="A49" s="17"/>
      <c r="B49" s="20" t="s">
        <v>174</v>
      </c>
      <c r="C49" s="21" t="s">
        <v>25</v>
      </c>
      <c r="D49" s="21" t="s">
        <v>26</v>
      </c>
      <c r="E49" s="22"/>
      <c r="F49" s="24" t="s">
        <v>175</v>
      </c>
      <c r="G49" s="26" t="s">
        <v>78</v>
      </c>
      <c r="H49" s="27">
        <v>50000</v>
      </c>
      <c r="I49" s="28"/>
      <c r="J49" s="54" t="str">
        <f t="shared" si="2"/>
        <v>จากบัญชีของ สน.งปฯ ธ.ค.61</v>
      </c>
      <c r="K49" s="30"/>
      <c r="L49" s="31"/>
      <c r="M49" s="22"/>
      <c r="N49" s="32"/>
      <c r="O49" s="32"/>
      <c r="P49" s="32"/>
      <c r="Q49" s="32"/>
      <c r="R49" s="32"/>
      <c r="S49" s="32"/>
      <c r="T49" s="34"/>
      <c r="U49" s="34"/>
      <c r="V49" s="36" t="str">
        <f t="shared" si="0"/>
        <v>100</v>
      </c>
      <c r="W49" s="39">
        <f>COUNTIF('52-60'!$V$2:$V206,V49)-1</f>
        <v>-1</v>
      </c>
      <c r="X49" s="40"/>
      <c r="Y49" s="40"/>
      <c r="Z49" s="40"/>
    </row>
    <row r="50" spans="1:26" ht="37.5">
      <c r="A50" s="17"/>
      <c r="B50" s="20" t="s">
        <v>176</v>
      </c>
      <c r="C50" s="21" t="s">
        <v>25</v>
      </c>
      <c r="D50" s="21" t="s">
        <v>26</v>
      </c>
      <c r="E50" s="22"/>
      <c r="F50" s="24" t="s">
        <v>178</v>
      </c>
      <c r="G50" s="26" t="s">
        <v>78</v>
      </c>
      <c r="H50" s="27">
        <v>100000</v>
      </c>
      <c r="I50" s="28"/>
      <c r="J50" s="54" t="str">
        <f t="shared" si="2"/>
        <v>จากบัญชีของ สน.งปฯ ธ.ค.61</v>
      </c>
      <c r="K50" s="30"/>
      <c r="L50" s="31"/>
      <c r="M50" s="22"/>
      <c r="N50" s="32"/>
      <c r="O50" s="32"/>
      <c r="P50" s="32"/>
      <c r="Q50" s="32"/>
      <c r="R50" s="32"/>
      <c r="S50" s="32"/>
      <c r="T50" s="34"/>
      <c r="U50" s="34"/>
      <c r="V50" s="36" t="str">
        <f t="shared" si="0"/>
        <v>100</v>
      </c>
      <c r="W50" s="39">
        <f>COUNTIF('52-60'!$V$2:$V206,V50)-1</f>
        <v>-1</v>
      </c>
      <c r="X50" s="40"/>
      <c r="Y50" s="40"/>
      <c r="Z50" s="40"/>
    </row>
    <row r="51" spans="1:26" ht="37.5">
      <c r="A51" s="17"/>
      <c r="B51" s="20" t="s">
        <v>179</v>
      </c>
      <c r="C51" s="21" t="s">
        <v>25</v>
      </c>
      <c r="D51" s="21" t="s">
        <v>26</v>
      </c>
      <c r="E51" s="22"/>
      <c r="F51" s="24" t="s">
        <v>180</v>
      </c>
      <c r="G51" s="26" t="s">
        <v>78</v>
      </c>
      <c r="H51" s="27">
        <v>120000</v>
      </c>
      <c r="I51" s="28"/>
      <c r="J51" s="54" t="str">
        <f t="shared" si="2"/>
        <v>จากบัญชีของ สน.งปฯ ธ.ค.61</v>
      </c>
      <c r="K51" s="30"/>
      <c r="L51" s="31"/>
      <c r="M51" s="22"/>
      <c r="N51" s="32"/>
      <c r="O51" s="32"/>
      <c r="P51" s="32"/>
      <c r="Q51" s="32"/>
      <c r="R51" s="32"/>
      <c r="S51" s="32"/>
      <c r="T51" s="34"/>
      <c r="U51" s="34"/>
      <c r="V51" s="36" t="str">
        <f t="shared" si="0"/>
        <v>100</v>
      </c>
      <c r="W51" s="39">
        <f>COUNTIF('52-60'!$V$2:$V206,V51)-1</f>
        <v>-1</v>
      </c>
      <c r="X51" s="40"/>
      <c r="Y51" s="40"/>
      <c r="Z51" s="40"/>
    </row>
    <row r="52" spans="1:26" ht="37.5">
      <c r="A52" s="17"/>
      <c r="B52" s="20" t="s">
        <v>183</v>
      </c>
      <c r="C52" s="21" t="s">
        <v>25</v>
      </c>
      <c r="D52" s="21" t="s">
        <v>26</v>
      </c>
      <c r="E52" s="22"/>
      <c r="F52" s="24" t="s">
        <v>184</v>
      </c>
      <c r="G52" s="26" t="s">
        <v>78</v>
      </c>
      <c r="H52" s="27">
        <v>180000</v>
      </c>
      <c r="I52" s="28"/>
      <c r="J52" s="54" t="str">
        <f t="shared" si="2"/>
        <v>จากบัญชีของ สน.งปฯ ธ.ค.61</v>
      </c>
      <c r="K52" s="30"/>
      <c r="L52" s="31"/>
      <c r="M52" s="22"/>
      <c r="N52" s="32"/>
      <c r="O52" s="32"/>
      <c r="P52" s="32"/>
      <c r="Q52" s="32"/>
      <c r="R52" s="32"/>
      <c r="S52" s="32"/>
      <c r="T52" s="34"/>
      <c r="U52" s="34"/>
      <c r="V52" s="36" t="str">
        <f t="shared" si="0"/>
        <v>100</v>
      </c>
      <c r="W52" s="39">
        <f>COUNTIF('52-60'!$V$2:$V206,V52)-1</f>
        <v>-1</v>
      </c>
      <c r="X52" s="40"/>
      <c r="Y52" s="40"/>
      <c r="Z52" s="40"/>
    </row>
    <row r="53" spans="1:26" ht="37.5">
      <c r="A53" s="17"/>
      <c r="B53" s="20" t="s">
        <v>185</v>
      </c>
      <c r="C53" s="21" t="s">
        <v>25</v>
      </c>
      <c r="D53" s="21" t="s">
        <v>26</v>
      </c>
      <c r="E53" s="22"/>
      <c r="F53" s="24" t="s">
        <v>186</v>
      </c>
      <c r="G53" s="26" t="s">
        <v>78</v>
      </c>
      <c r="H53" s="27">
        <v>200000</v>
      </c>
      <c r="I53" s="28"/>
      <c r="J53" s="54" t="str">
        <f t="shared" si="2"/>
        <v>จากบัญชีของ สน.งปฯ ธ.ค.61</v>
      </c>
      <c r="K53" s="30"/>
      <c r="L53" s="31"/>
      <c r="M53" s="22"/>
      <c r="N53" s="32"/>
      <c r="O53" s="32"/>
      <c r="P53" s="32"/>
      <c r="Q53" s="32"/>
      <c r="R53" s="32"/>
      <c r="S53" s="32"/>
      <c r="T53" s="34"/>
      <c r="U53" s="34"/>
      <c r="V53" s="36" t="str">
        <f t="shared" si="0"/>
        <v>100</v>
      </c>
      <c r="W53" s="39">
        <f>COUNTIF('52-60'!$V$2:$V206,V53)-1</f>
        <v>-1</v>
      </c>
      <c r="X53" s="40"/>
      <c r="Y53" s="40"/>
      <c r="Z53" s="40"/>
    </row>
    <row r="54" spans="1:26" ht="37.5">
      <c r="A54" s="17"/>
      <c r="B54" s="20" t="s">
        <v>187</v>
      </c>
      <c r="C54" s="21" t="s">
        <v>25</v>
      </c>
      <c r="D54" s="21" t="s">
        <v>26</v>
      </c>
      <c r="E54" s="22"/>
      <c r="F54" s="24" t="s">
        <v>188</v>
      </c>
      <c r="G54" s="26" t="s">
        <v>78</v>
      </c>
      <c r="H54" s="27">
        <v>120000</v>
      </c>
      <c r="I54" s="28"/>
      <c r="J54" s="54" t="str">
        <f t="shared" si="2"/>
        <v>จากบัญชีของ สน.งปฯ ธ.ค.61</v>
      </c>
      <c r="K54" s="30"/>
      <c r="L54" s="31"/>
      <c r="M54" s="22"/>
      <c r="N54" s="32"/>
      <c r="O54" s="32"/>
      <c r="P54" s="32"/>
      <c r="Q54" s="32"/>
      <c r="R54" s="32"/>
      <c r="S54" s="32"/>
      <c r="T54" s="34"/>
      <c r="U54" s="34"/>
      <c r="V54" s="36" t="str">
        <f t="shared" si="0"/>
        <v>100</v>
      </c>
      <c r="W54" s="39">
        <f>COUNTIF('52-60'!$V$2:$V206,V54)-1</f>
        <v>-1</v>
      </c>
      <c r="X54" s="40"/>
      <c r="Y54" s="40"/>
      <c r="Z54" s="40"/>
    </row>
    <row r="55" spans="1:26" ht="37.5">
      <c r="A55" s="17"/>
      <c r="B55" s="20" t="s">
        <v>189</v>
      </c>
      <c r="C55" s="21" t="s">
        <v>25</v>
      </c>
      <c r="D55" s="21" t="s">
        <v>26</v>
      </c>
      <c r="E55" s="22"/>
      <c r="F55" s="24" t="s">
        <v>190</v>
      </c>
      <c r="G55" s="26" t="s">
        <v>78</v>
      </c>
      <c r="H55" s="27">
        <v>250000</v>
      </c>
      <c r="I55" s="28"/>
      <c r="J55" s="54" t="str">
        <f t="shared" si="2"/>
        <v>จากบัญชีของ สน.งปฯ ธ.ค.61</v>
      </c>
      <c r="K55" s="30"/>
      <c r="L55" s="31"/>
      <c r="M55" s="22"/>
      <c r="N55" s="32"/>
      <c r="O55" s="32"/>
      <c r="P55" s="32"/>
      <c r="Q55" s="32"/>
      <c r="R55" s="32"/>
      <c r="S55" s="32"/>
      <c r="T55" s="34"/>
      <c r="U55" s="34"/>
      <c r="V55" s="36" t="str">
        <f t="shared" si="0"/>
        <v>100</v>
      </c>
      <c r="W55" s="39">
        <f>COUNTIF('52-60'!$V$2:$V206,V55)-1</f>
        <v>-1</v>
      </c>
      <c r="X55" s="40"/>
      <c r="Y55" s="40"/>
      <c r="Z55" s="40"/>
    </row>
    <row r="56" spans="1:26" ht="37.5">
      <c r="A56" s="17"/>
      <c r="B56" s="20" t="s">
        <v>194</v>
      </c>
      <c r="C56" s="21" t="s">
        <v>25</v>
      </c>
      <c r="D56" s="21" t="s">
        <v>26</v>
      </c>
      <c r="E56" s="22"/>
      <c r="F56" s="24" t="s">
        <v>195</v>
      </c>
      <c r="G56" s="26" t="s">
        <v>78</v>
      </c>
      <c r="H56" s="27">
        <v>350000</v>
      </c>
      <c r="I56" s="28"/>
      <c r="J56" s="54" t="str">
        <f t="shared" si="2"/>
        <v>จากบัญชีของ สน.งปฯ ธ.ค.61</v>
      </c>
      <c r="K56" s="30"/>
      <c r="L56" s="31"/>
      <c r="M56" s="22"/>
      <c r="N56" s="32"/>
      <c r="O56" s="32"/>
      <c r="P56" s="32"/>
      <c r="Q56" s="32"/>
      <c r="R56" s="32"/>
      <c r="S56" s="32"/>
      <c r="T56" s="34"/>
      <c r="U56" s="34"/>
      <c r="V56" s="36" t="str">
        <f t="shared" si="0"/>
        <v>100</v>
      </c>
      <c r="W56" s="39">
        <f>COUNTIF('52-60'!$V$2:$V206,V56)-1</f>
        <v>-1</v>
      </c>
      <c r="X56" s="40"/>
      <c r="Y56" s="40"/>
      <c r="Z56" s="40"/>
    </row>
    <row r="57" spans="1:26" ht="37.5">
      <c r="A57" s="17"/>
      <c r="B57" s="20" t="s">
        <v>196</v>
      </c>
      <c r="C57" s="21" t="s">
        <v>25</v>
      </c>
      <c r="D57" s="21" t="s">
        <v>26</v>
      </c>
      <c r="E57" s="22"/>
      <c r="F57" s="24" t="s">
        <v>197</v>
      </c>
      <c r="G57" s="26" t="s">
        <v>78</v>
      </c>
      <c r="H57" s="27">
        <v>450000</v>
      </c>
      <c r="I57" s="28"/>
      <c r="J57" s="54" t="str">
        <f t="shared" si="2"/>
        <v>จากบัญชีของ สน.งปฯ ธ.ค.61</v>
      </c>
      <c r="K57" s="30"/>
      <c r="L57" s="31"/>
      <c r="M57" s="22"/>
      <c r="N57" s="32"/>
      <c r="O57" s="32"/>
      <c r="P57" s="32"/>
      <c r="Q57" s="32"/>
      <c r="R57" s="32"/>
      <c r="S57" s="32"/>
      <c r="T57" s="34"/>
      <c r="U57" s="34"/>
      <c r="V57" s="36" t="str">
        <f t="shared" si="0"/>
        <v>100</v>
      </c>
      <c r="W57" s="39">
        <f>COUNTIF('52-60'!$V$2:$V206,V57)-1</f>
        <v>-1</v>
      </c>
      <c r="X57" s="40"/>
      <c r="Y57" s="40"/>
      <c r="Z57" s="40"/>
    </row>
    <row r="58" spans="1:26" ht="18.75">
      <c r="A58" s="17"/>
      <c r="B58" s="20" t="s">
        <v>198</v>
      </c>
      <c r="C58" s="21" t="s">
        <v>25</v>
      </c>
      <c r="D58" s="21" t="s">
        <v>26</v>
      </c>
      <c r="E58" s="22"/>
      <c r="F58" s="24" t="s">
        <v>199</v>
      </c>
      <c r="G58" s="26" t="s">
        <v>78</v>
      </c>
      <c r="H58" s="27">
        <v>14000</v>
      </c>
      <c r="I58" s="28"/>
      <c r="J58" s="29"/>
      <c r="K58" s="30"/>
      <c r="L58" s="31"/>
      <c r="M58" s="22"/>
      <c r="N58" s="32"/>
      <c r="O58" s="32"/>
      <c r="P58" s="32"/>
      <c r="Q58" s="32"/>
      <c r="R58" s="32"/>
      <c r="S58" s="32"/>
      <c r="T58" s="34"/>
      <c r="U58" s="34"/>
      <c r="V58" s="36" t="str">
        <f t="shared" si="0"/>
        <v>100</v>
      </c>
      <c r="W58" s="39">
        <f>COUNTIF('52-60'!$V$2:$V206,V58)-1</f>
        <v>-1</v>
      </c>
      <c r="X58" s="40"/>
      <c r="Y58" s="40"/>
      <c r="Z58" s="40"/>
    </row>
    <row r="59" spans="1:26" ht="18.75">
      <c r="A59" s="17"/>
      <c r="B59" s="20" t="s">
        <v>200</v>
      </c>
      <c r="C59" s="21" t="s">
        <v>25</v>
      </c>
      <c r="D59" s="21" t="s">
        <v>26</v>
      </c>
      <c r="E59" s="22"/>
      <c r="F59" s="24" t="s">
        <v>201</v>
      </c>
      <c r="G59" s="26" t="s">
        <v>78</v>
      </c>
      <c r="H59" s="27">
        <v>15000</v>
      </c>
      <c r="I59" s="28"/>
      <c r="J59" s="29"/>
      <c r="K59" s="30"/>
      <c r="L59" s="31"/>
      <c r="M59" s="22"/>
      <c r="N59" s="32"/>
      <c r="O59" s="32"/>
      <c r="P59" s="32"/>
      <c r="Q59" s="32"/>
      <c r="R59" s="32"/>
      <c r="S59" s="32"/>
      <c r="T59" s="34"/>
      <c r="U59" s="34"/>
      <c r="V59" s="36" t="str">
        <f t="shared" si="0"/>
        <v>100</v>
      </c>
      <c r="W59" s="39">
        <f>COUNTIF('52-60'!$V$2:$V206,V59)-1</f>
        <v>-1</v>
      </c>
      <c r="X59" s="40"/>
      <c r="Y59" s="40"/>
      <c r="Z59" s="40"/>
    </row>
    <row r="60" spans="1:26" ht="18.75">
      <c r="A60" s="17"/>
      <c r="B60" s="20" t="s">
        <v>204</v>
      </c>
      <c r="C60" s="21" t="s">
        <v>25</v>
      </c>
      <c r="D60" s="21" t="s">
        <v>26</v>
      </c>
      <c r="E60" s="22"/>
      <c r="F60" s="24" t="s">
        <v>205</v>
      </c>
      <c r="G60" s="26" t="s">
        <v>78</v>
      </c>
      <c r="H60" s="27">
        <v>26000</v>
      </c>
      <c r="I60" s="28"/>
      <c r="J60" s="29"/>
      <c r="K60" s="30"/>
      <c r="L60" s="31"/>
      <c r="M60" s="22"/>
      <c r="N60" s="32"/>
      <c r="O60" s="32"/>
      <c r="P60" s="32"/>
      <c r="Q60" s="32"/>
      <c r="R60" s="32"/>
      <c r="S60" s="32"/>
      <c r="T60" s="34"/>
      <c r="U60" s="34"/>
      <c r="V60" s="36" t="str">
        <f t="shared" si="0"/>
        <v>100</v>
      </c>
      <c r="W60" s="39">
        <f>COUNTIF('52-60'!$V$2:$V206,V60)-1</f>
        <v>-1</v>
      </c>
      <c r="X60" s="40"/>
      <c r="Y60" s="40"/>
      <c r="Z60" s="40"/>
    </row>
    <row r="61" spans="1:26" ht="37.5">
      <c r="A61" s="17"/>
      <c r="B61" s="20" t="s">
        <v>206</v>
      </c>
      <c r="C61" s="21" t="s">
        <v>25</v>
      </c>
      <c r="D61" s="21" t="s">
        <v>26</v>
      </c>
      <c r="E61" s="22"/>
      <c r="F61" s="24" t="s">
        <v>207</v>
      </c>
      <c r="G61" s="26" t="s">
        <v>78</v>
      </c>
      <c r="H61" s="27">
        <v>20000</v>
      </c>
      <c r="I61" s="28"/>
      <c r="J61" s="54" t="str">
        <f t="shared" ref="J61:J70" si="3">HYPERLINK("https://drive.google.com/open?id=1uRKauPNhvZ-Kx2o2zLSRMFbmPZrJaKkb","จากบัญชีของ สน.งปฯ ธ.ค.61")</f>
        <v>จากบัญชีของ สน.งปฯ ธ.ค.61</v>
      </c>
      <c r="K61" s="30"/>
      <c r="L61" s="31"/>
      <c r="M61" s="22"/>
      <c r="N61" s="32"/>
      <c r="O61" s="32"/>
      <c r="P61" s="32"/>
      <c r="Q61" s="32"/>
      <c r="R61" s="32"/>
      <c r="S61" s="32"/>
      <c r="T61" s="34"/>
      <c r="U61" s="34"/>
      <c r="V61" s="36" t="str">
        <f t="shared" si="0"/>
        <v>100</v>
      </c>
      <c r="W61" s="39">
        <f>COUNTIF('52-60'!$V$2:$V206,V61)-1</f>
        <v>-1</v>
      </c>
      <c r="X61" s="40"/>
      <c r="Y61" s="40"/>
      <c r="Z61" s="40"/>
    </row>
    <row r="62" spans="1:26" ht="37.5">
      <c r="A62" s="17"/>
      <c r="B62" s="20" t="s">
        <v>210</v>
      </c>
      <c r="C62" s="21" t="s">
        <v>25</v>
      </c>
      <c r="D62" s="21" t="s">
        <v>26</v>
      </c>
      <c r="E62" s="22"/>
      <c r="F62" s="24" t="s">
        <v>211</v>
      </c>
      <c r="G62" s="26" t="s">
        <v>78</v>
      </c>
      <c r="H62" s="27">
        <v>28000</v>
      </c>
      <c r="I62" s="28"/>
      <c r="J62" s="54" t="str">
        <f t="shared" si="3"/>
        <v>จากบัญชีของ สน.งปฯ ธ.ค.61</v>
      </c>
      <c r="K62" s="30"/>
      <c r="L62" s="31"/>
      <c r="M62" s="22"/>
      <c r="N62" s="32"/>
      <c r="O62" s="32"/>
      <c r="P62" s="32"/>
      <c r="Q62" s="32"/>
      <c r="R62" s="32"/>
      <c r="S62" s="32"/>
      <c r="T62" s="34"/>
      <c r="U62" s="34"/>
      <c r="V62" s="36" t="str">
        <f t="shared" si="0"/>
        <v>100</v>
      </c>
      <c r="W62" s="39">
        <f>COUNTIF('52-60'!$V$2:$V206,V62)-1</f>
        <v>-1</v>
      </c>
      <c r="X62" s="40"/>
      <c r="Y62" s="40"/>
      <c r="Z62" s="40"/>
    </row>
    <row r="63" spans="1:26" ht="37.5">
      <c r="A63" s="17"/>
      <c r="B63" s="20" t="s">
        <v>212</v>
      </c>
      <c r="C63" s="21" t="s">
        <v>25</v>
      </c>
      <c r="D63" s="21" t="s">
        <v>26</v>
      </c>
      <c r="E63" s="22"/>
      <c r="F63" s="24" t="s">
        <v>213</v>
      </c>
      <c r="G63" s="26" t="s">
        <v>78</v>
      </c>
      <c r="H63" s="27">
        <v>62200</v>
      </c>
      <c r="I63" s="28"/>
      <c r="J63" s="54" t="str">
        <f t="shared" si="3"/>
        <v>จากบัญชีของ สน.งปฯ ธ.ค.61</v>
      </c>
      <c r="K63" s="30"/>
      <c r="L63" s="31"/>
      <c r="M63" s="22"/>
      <c r="N63" s="32"/>
      <c r="O63" s="32"/>
      <c r="P63" s="32"/>
      <c r="Q63" s="32"/>
      <c r="R63" s="32"/>
      <c r="S63" s="32"/>
      <c r="T63" s="34"/>
      <c r="U63" s="34"/>
      <c r="V63" s="36" t="str">
        <f t="shared" si="0"/>
        <v>100</v>
      </c>
      <c r="W63" s="39">
        <f>COUNTIF('52-60'!$V$2:$V206,V63)-1</f>
        <v>-1</v>
      </c>
      <c r="X63" s="40"/>
      <c r="Y63" s="40"/>
      <c r="Z63" s="40"/>
    </row>
    <row r="64" spans="1:26" ht="37.5">
      <c r="A64" s="17"/>
      <c r="B64" s="20" t="s">
        <v>214</v>
      </c>
      <c r="C64" s="21" t="s">
        <v>25</v>
      </c>
      <c r="D64" s="21" t="s">
        <v>26</v>
      </c>
      <c r="E64" s="22"/>
      <c r="F64" s="24" t="s">
        <v>215</v>
      </c>
      <c r="G64" s="26" t="s">
        <v>78</v>
      </c>
      <c r="H64" s="27">
        <v>24600</v>
      </c>
      <c r="I64" s="28"/>
      <c r="J64" s="54" t="str">
        <f t="shared" si="3"/>
        <v>จากบัญชีของ สน.งปฯ ธ.ค.61</v>
      </c>
      <c r="K64" s="30"/>
      <c r="L64" s="31"/>
      <c r="M64" s="22"/>
      <c r="N64" s="32"/>
      <c r="O64" s="32"/>
      <c r="P64" s="32"/>
      <c r="Q64" s="32"/>
      <c r="R64" s="32"/>
      <c r="S64" s="32"/>
      <c r="T64" s="34"/>
      <c r="U64" s="34"/>
      <c r="V64" s="36" t="str">
        <f t="shared" si="0"/>
        <v>100</v>
      </c>
      <c r="W64" s="39">
        <f>COUNTIF('52-60'!$V$2:$V206,V64)-1</f>
        <v>-1</v>
      </c>
      <c r="X64" s="40"/>
      <c r="Y64" s="40"/>
      <c r="Z64" s="40"/>
    </row>
    <row r="65" spans="1:26" ht="37.5">
      <c r="A65" s="17"/>
      <c r="B65" s="20" t="s">
        <v>216</v>
      </c>
      <c r="C65" s="21" t="s">
        <v>25</v>
      </c>
      <c r="D65" s="21" t="s">
        <v>26</v>
      </c>
      <c r="E65" s="22"/>
      <c r="F65" s="24" t="s">
        <v>217</v>
      </c>
      <c r="G65" s="26" t="s">
        <v>78</v>
      </c>
      <c r="H65" s="27">
        <v>49000</v>
      </c>
      <c r="I65" s="28"/>
      <c r="J65" s="54" t="str">
        <f t="shared" si="3"/>
        <v>จากบัญชีของ สน.งปฯ ธ.ค.61</v>
      </c>
      <c r="K65" s="30"/>
      <c r="L65" s="31"/>
      <c r="M65" s="22"/>
      <c r="N65" s="32"/>
      <c r="O65" s="32"/>
      <c r="P65" s="32"/>
      <c r="Q65" s="32"/>
      <c r="R65" s="32"/>
      <c r="S65" s="32"/>
      <c r="T65" s="34"/>
      <c r="U65" s="34"/>
      <c r="V65" s="36" t="str">
        <f t="shared" si="0"/>
        <v>100</v>
      </c>
      <c r="W65" s="39">
        <f>COUNTIF('52-60'!$V$2:$V206,V65)-1</f>
        <v>-1</v>
      </c>
      <c r="X65" s="40"/>
      <c r="Y65" s="40"/>
      <c r="Z65" s="40"/>
    </row>
    <row r="66" spans="1:26" ht="37.5">
      <c r="A66" s="17"/>
      <c r="B66" s="20" t="s">
        <v>218</v>
      </c>
      <c r="C66" s="21" t="s">
        <v>25</v>
      </c>
      <c r="D66" s="21" t="s">
        <v>26</v>
      </c>
      <c r="E66" s="22"/>
      <c r="F66" s="24" t="s">
        <v>219</v>
      </c>
      <c r="G66" s="26" t="s">
        <v>78</v>
      </c>
      <c r="H66" s="27">
        <v>69900</v>
      </c>
      <c r="I66" s="28"/>
      <c r="J66" s="54" t="str">
        <f t="shared" si="3"/>
        <v>จากบัญชีของ สน.งปฯ ธ.ค.61</v>
      </c>
      <c r="K66" s="30"/>
      <c r="L66" s="31"/>
      <c r="M66" s="22"/>
      <c r="N66" s="32"/>
      <c r="O66" s="32"/>
      <c r="P66" s="32"/>
      <c r="Q66" s="32"/>
      <c r="R66" s="32"/>
      <c r="S66" s="32"/>
      <c r="T66" s="34"/>
      <c r="U66" s="34"/>
      <c r="V66" s="36" t="str">
        <f t="shared" si="0"/>
        <v>100</v>
      </c>
      <c r="W66" s="39">
        <f>COUNTIF('52-60'!$V$2:$V206,V66)-1</f>
        <v>-1</v>
      </c>
      <c r="X66" s="40"/>
      <c r="Y66" s="40"/>
      <c r="Z66" s="40"/>
    </row>
    <row r="67" spans="1:26" ht="37.5">
      <c r="A67" s="17"/>
      <c r="B67" s="20" t="s">
        <v>222</v>
      </c>
      <c r="C67" s="21" t="s">
        <v>25</v>
      </c>
      <c r="D67" s="21" t="s">
        <v>26</v>
      </c>
      <c r="E67" s="22"/>
      <c r="F67" s="24" t="s">
        <v>223</v>
      </c>
      <c r="G67" s="26" t="s">
        <v>78</v>
      </c>
      <c r="H67" s="27">
        <v>18000</v>
      </c>
      <c r="I67" s="28"/>
      <c r="J67" s="54" t="str">
        <f t="shared" si="3"/>
        <v>จากบัญชีของ สน.งปฯ ธ.ค.61</v>
      </c>
      <c r="K67" s="30"/>
      <c r="L67" s="31"/>
      <c r="M67" s="22"/>
      <c r="N67" s="32"/>
      <c r="O67" s="32"/>
      <c r="P67" s="32"/>
      <c r="Q67" s="32"/>
      <c r="R67" s="32"/>
      <c r="S67" s="32"/>
      <c r="T67" s="34"/>
      <c r="U67" s="34"/>
      <c r="V67" s="36" t="str">
        <f t="shared" si="0"/>
        <v>100</v>
      </c>
      <c r="W67" s="39">
        <f>COUNTIF('52-60'!$V$2:$V206,V67)-1</f>
        <v>-1</v>
      </c>
      <c r="X67" s="40"/>
      <c r="Y67" s="40"/>
      <c r="Z67" s="40"/>
    </row>
    <row r="68" spans="1:26" ht="37.5">
      <c r="A68" s="17"/>
      <c r="B68" s="20" t="s">
        <v>224</v>
      </c>
      <c r="C68" s="21" t="s">
        <v>25</v>
      </c>
      <c r="D68" s="21" t="s">
        <v>26</v>
      </c>
      <c r="E68" s="22"/>
      <c r="F68" s="24" t="s">
        <v>225</v>
      </c>
      <c r="G68" s="26" t="s">
        <v>78</v>
      </c>
      <c r="H68" s="27">
        <v>30000</v>
      </c>
      <c r="I68" s="28"/>
      <c r="J68" s="54" t="str">
        <f t="shared" si="3"/>
        <v>จากบัญชีของ สน.งปฯ ธ.ค.61</v>
      </c>
      <c r="K68" s="30"/>
      <c r="L68" s="31"/>
      <c r="M68" s="22"/>
      <c r="N68" s="32"/>
      <c r="O68" s="32"/>
      <c r="P68" s="32"/>
      <c r="Q68" s="32"/>
      <c r="R68" s="32"/>
      <c r="S68" s="32"/>
      <c r="T68" s="34"/>
      <c r="U68" s="34"/>
      <c r="V68" s="36" t="str">
        <f t="shared" si="0"/>
        <v>100</v>
      </c>
      <c r="W68" s="39">
        <f>COUNTIF('52-60'!$V$2:$V206,V68)-1</f>
        <v>-1</v>
      </c>
      <c r="X68" s="40"/>
      <c r="Y68" s="40"/>
      <c r="Z68" s="40"/>
    </row>
    <row r="69" spans="1:26" ht="18.75">
      <c r="A69" s="17"/>
      <c r="B69" s="20" t="s">
        <v>228</v>
      </c>
      <c r="C69" s="21" t="s">
        <v>25</v>
      </c>
      <c r="D69" s="21" t="s">
        <v>26</v>
      </c>
      <c r="E69" s="22"/>
      <c r="F69" s="24" t="s">
        <v>229</v>
      </c>
      <c r="G69" s="26" t="s">
        <v>78</v>
      </c>
      <c r="H69" s="27">
        <v>49900</v>
      </c>
      <c r="I69" s="28"/>
      <c r="J69" s="54" t="str">
        <f t="shared" si="3"/>
        <v>จากบัญชีของ สน.งปฯ ธ.ค.61</v>
      </c>
      <c r="K69" s="30"/>
      <c r="L69" s="31"/>
      <c r="M69" s="22"/>
      <c r="N69" s="32"/>
      <c r="O69" s="32"/>
      <c r="P69" s="32"/>
      <c r="Q69" s="32"/>
      <c r="R69" s="32"/>
      <c r="S69" s="32"/>
      <c r="T69" s="34"/>
      <c r="U69" s="34"/>
      <c r="V69" s="36" t="str">
        <f t="shared" si="0"/>
        <v>100</v>
      </c>
      <c r="W69" s="39">
        <f>COUNTIF('52-60'!$V$2:$V206,V69)-1</f>
        <v>-1</v>
      </c>
      <c r="X69" s="40"/>
      <c r="Y69" s="40"/>
      <c r="Z69" s="40"/>
    </row>
    <row r="70" spans="1:26" ht="18.75">
      <c r="A70" s="17"/>
      <c r="B70" s="20" t="s">
        <v>230</v>
      </c>
      <c r="C70" s="21" t="s">
        <v>25</v>
      </c>
      <c r="D70" s="21" t="s">
        <v>26</v>
      </c>
      <c r="E70" s="22"/>
      <c r="F70" s="24" t="s">
        <v>231</v>
      </c>
      <c r="G70" s="26" t="s">
        <v>78</v>
      </c>
      <c r="H70" s="27">
        <v>75000</v>
      </c>
      <c r="I70" s="28"/>
      <c r="J70" s="54" t="str">
        <f t="shared" si="3"/>
        <v>จากบัญชีของ สน.งปฯ ธ.ค.61</v>
      </c>
      <c r="K70" s="30"/>
      <c r="L70" s="31"/>
      <c r="M70" s="22"/>
      <c r="N70" s="32"/>
      <c r="O70" s="32"/>
      <c r="P70" s="32"/>
      <c r="Q70" s="32"/>
      <c r="R70" s="32"/>
      <c r="S70" s="32"/>
      <c r="T70" s="34"/>
      <c r="U70" s="34"/>
      <c r="V70" s="36" t="str">
        <f t="shared" si="0"/>
        <v>100</v>
      </c>
      <c r="W70" s="39">
        <f>COUNTIF('52-60'!$V$2:$V206,V70)-1</f>
        <v>-1</v>
      </c>
      <c r="X70" s="40"/>
      <c r="Y70" s="40"/>
      <c r="Z70" s="40"/>
    </row>
    <row r="71" spans="1:26" ht="18.75">
      <c r="A71" s="17"/>
      <c r="B71" s="20" t="s">
        <v>234</v>
      </c>
      <c r="C71" s="21" t="s">
        <v>25</v>
      </c>
      <c r="D71" s="21" t="s">
        <v>26</v>
      </c>
      <c r="E71" s="22"/>
      <c r="F71" s="24" t="s">
        <v>235</v>
      </c>
      <c r="G71" s="26" t="s">
        <v>78</v>
      </c>
      <c r="H71" s="27">
        <v>285000</v>
      </c>
      <c r="I71" s="28"/>
      <c r="J71" s="29"/>
      <c r="K71" s="30"/>
      <c r="L71" s="31"/>
      <c r="M71" s="22"/>
      <c r="N71" s="32"/>
      <c r="O71" s="32"/>
      <c r="P71" s="32"/>
      <c r="Q71" s="32"/>
      <c r="R71" s="32"/>
      <c r="S71" s="32"/>
      <c r="T71" s="34"/>
      <c r="U71" s="34"/>
      <c r="V71" s="36" t="str">
        <f t="shared" si="0"/>
        <v>100</v>
      </c>
      <c r="W71" s="39">
        <f>COUNTIF('52-60'!$V$2:$V206,V71)-1</f>
        <v>-1</v>
      </c>
      <c r="X71" s="40"/>
      <c r="Y71" s="40"/>
      <c r="Z71" s="40"/>
    </row>
    <row r="72" spans="1:26" ht="18.75">
      <c r="A72" s="17"/>
      <c r="B72" s="20" t="s">
        <v>236</v>
      </c>
      <c r="C72" s="21" t="s">
        <v>25</v>
      </c>
      <c r="D72" s="21" t="s">
        <v>26</v>
      </c>
      <c r="E72" s="22"/>
      <c r="F72" s="24" t="s">
        <v>238</v>
      </c>
      <c r="G72" s="26" t="s">
        <v>78</v>
      </c>
      <c r="H72" s="27">
        <v>25000</v>
      </c>
      <c r="I72" s="28"/>
      <c r="J72" s="54" t="str">
        <f>HYPERLINK("https://drive.google.com/open?id=1uRKauPNhvZ-Kx2o2zLSRMFbmPZrJaKkb","จากบัญชีของ สน.งปฯ ธ.ค.61")</f>
        <v>จากบัญชีของ สน.งปฯ ธ.ค.61</v>
      </c>
      <c r="K72" s="30"/>
      <c r="L72" s="31"/>
      <c r="M72" s="22"/>
      <c r="N72" s="32"/>
      <c r="O72" s="32"/>
      <c r="P72" s="32"/>
      <c r="Q72" s="32"/>
      <c r="R72" s="32"/>
      <c r="S72" s="32"/>
      <c r="T72" s="34"/>
      <c r="U72" s="34"/>
      <c r="V72" s="36" t="str">
        <f t="shared" si="0"/>
        <v>100</v>
      </c>
      <c r="W72" s="39">
        <f>COUNTIF('52-60'!$V$2:$V206,V72)-1</f>
        <v>-1</v>
      </c>
      <c r="X72" s="40"/>
      <c r="Y72" s="40"/>
      <c r="Z72" s="40"/>
    </row>
    <row r="73" spans="1:26" ht="37.5">
      <c r="A73" s="17"/>
      <c r="B73" s="20" t="s">
        <v>240</v>
      </c>
      <c r="C73" s="21" t="s">
        <v>25</v>
      </c>
      <c r="D73" s="21" t="s">
        <v>26</v>
      </c>
      <c r="E73" s="22"/>
      <c r="F73" s="24" t="s">
        <v>241</v>
      </c>
      <c r="G73" s="26" t="s">
        <v>78</v>
      </c>
      <c r="H73" s="27">
        <v>13000</v>
      </c>
      <c r="I73" s="28"/>
      <c r="J73" s="29"/>
      <c r="K73" s="30"/>
      <c r="L73" s="31"/>
      <c r="M73" s="22"/>
      <c r="N73" s="32"/>
      <c r="O73" s="32"/>
      <c r="P73" s="32"/>
      <c r="Q73" s="32"/>
      <c r="R73" s="32"/>
      <c r="S73" s="32"/>
      <c r="T73" s="34"/>
      <c r="U73" s="34"/>
      <c r="V73" s="36" t="str">
        <f t="shared" si="0"/>
        <v>100</v>
      </c>
      <c r="W73" s="39">
        <f>COUNTIF('52-60'!$V$2:$V206,V73)-1</f>
        <v>-1</v>
      </c>
      <c r="X73" s="40"/>
      <c r="Y73" s="40"/>
      <c r="Z73" s="40"/>
    </row>
    <row r="74" spans="1:26" ht="37.5">
      <c r="A74" s="17"/>
      <c r="B74" s="20" t="s">
        <v>242</v>
      </c>
      <c r="C74" s="21" t="s">
        <v>25</v>
      </c>
      <c r="D74" s="21" t="s">
        <v>26</v>
      </c>
      <c r="E74" s="22"/>
      <c r="F74" s="24" t="s">
        <v>245</v>
      </c>
      <c r="G74" s="26" t="s">
        <v>78</v>
      </c>
      <c r="H74" s="27">
        <v>17000</v>
      </c>
      <c r="I74" s="28"/>
      <c r="J74" s="29"/>
      <c r="K74" s="30"/>
      <c r="L74" s="31"/>
      <c r="M74" s="22"/>
      <c r="N74" s="32"/>
      <c r="O74" s="32"/>
      <c r="P74" s="32"/>
      <c r="Q74" s="32"/>
      <c r="R74" s="32"/>
      <c r="S74" s="32"/>
      <c r="T74" s="34"/>
      <c r="U74" s="34"/>
      <c r="V74" s="36" t="str">
        <f t="shared" si="0"/>
        <v>100</v>
      </c>
      <c r="W74" s="39">
        <f>COUNTIF('52-60'!$V$2:$V206,V74)-1</f>
        <v>-1</v>
      </c>
      <c r="X74" s="40"/>
      <c r="Y74" s="40"/>
      <c r="Z74" s="40"/>
    </row>
    <row r="75" spans="1:26" ht="37.5">
      <c r="A75" s="17"/>
      <c r="B75" s="20" t="s">
        <v>246</v>
      </c>
      <c r="C75" s="21" t="s">
        <v>25</v>
      </c>
      <c r="D75" s="21" t="s">
        <v>26</v>
      </c>
      <c r="E75" s="22"/>
      <c r="F75" s="24" t="s">
        <v>247</v>
      </c>
      <c r="G75" s="26" t="s">
        <v>78</v>
      </c>
      <c r="H75" s="27">
        <v>38000</v>
      </c>
      <c r="I75" s="28"/>
      <c r="J75" s="29"/>
      <c r="K75" s="30"/>
      <c r="L75" s="31"/>
      <c r="M75" s="22"/>
      <c r="N75" s="32"/>
      <c r="O75" s="32"/>
      <c r="P75" s="32"/>
      <c r="Q75" s="32"/>
      <c r="R75" s="32"/>
      <c r="S75" s="32"/>
      <c r="T75" s="34"/>
      <c r="U75" s="34"/>
      <c r="V75" s="36" t="str">
        <f t="shared" si="0"/>
        <v>100</v>
      </c>
      <c r="W75" s="39">
        <f>COUNTIF('52-60'!$V$2:$V206,V75)-1</f>
        <v>-1</v>
      </c>
      <c r="X75" s="40"/>
      <c r="Y75" s="40"/>
      <c r="Z75" s="40"/>
    </row>
    <row r="76" spans="1:26" ht="18.75">
      <c r="A76" s="17"/>
      <c r="B76" s="20" t="s">
        <v>249</v>
      </c>
      <c r="C76" s="21" t="s">
        <v>25</v>
      </c>
      <c r="D76" s="21" t="s">
        <v>26</v>
      </c>
      <c r="E76" s="22"/>
      <c r="F76" s="24" t="s">
        <v>251</v>
      </c>
      <c r="G76" s="26" t="s">
        <v>78</v>
      </c>
      <c r="H76" s="27">
        <v>59000</v>
      </c>
      <c r="I76" s="28"/>
      <c r="J76" s="29"/>
      <c r="K76" s="30"/>
      <c r="L76" s="31"/>
      <c r="M76" s="22"/>
      <c r="N76" s="32"/>
      <c r="O76" s="32"/>
      <c r="P76" s="32"/>
      <c r="Q76" s="32"/>
      <c r="R76" s="32"/>
      <c r="S76" s="32"/>
      <c r="T76" s="34"/>
      <c r="U76" s="34"/>
      <c r="V76" s="36" t="str">
        <f t="shared" si="0"/>
        <v>100</v>
      </c>
      <c r="W76" s="39">
        <f>COUNTIF('52-60'!$V$2:$V206,V76)-1</f>
        <v>-1</v>
      </c>
      <c r="X76" s="40"/>
      <c r="Y76" s="40"/>
      <c r="Z76" s="40"/>
    </row>
    <row r="77" spans="1:26" ht="18.75">
      <c r="A77" s="17"/>
      <c r="B77" s="20" t="s">
        <v>252</v>
      </c>
      <c r="C77" s="21" t="s">
        <v>25</v>
      </c>
      <c r="D77" s="21" t="s">
        <v>26</v>
      </c>
      <c r="E77" s="22"/>
      <c r="F77" s="24" t="s">
        <v>253</v>
      </c>
      <c r="G77" s="26" t="s">
        <v>78</v>
      </c>
      <c r="H77" s="27">
        <v>48000</v>
      </c>
      <c r="I77" s="28"/>
      <c r="J77" s="54" t="str">
        <f>HYPERLINK("https://drive.google.com/open?id=1uRKauPNhvZ-Kx2o2zLSRMFbmPZrJaKkb","จากบัญชีของ สน.งปฯ ธ.ค.61")</f>
        <v>จากบัญชีของ สน.งปฯ ธ.ค.61</v>
      </c>
      <c r="K77" s="30"/>
      <c r="L77" s="31"/>
      <c r="M77" s="22"/>
      <c r="N77" s="32"/>
      <c r="O77" s="32"/>
      <c r="P77" s="32"/>
      <c r="Q77" s="32"/>
      <c r="R77" s="32"/>
      <c r="S77" s="32"/>
      <c r="T77" s="34"/>
      <c r="U77" s="34"/>
      <c r="V77" s="36" t="str">
        <f t="shared" si="0"/>
        <v>100</v>
      </c>
      <c r="W77" s="39">
        <f>COUNTIF('52-60'!$V$2:$V206,V77)-1</f>
        <v>-1</v>
      </c>
      <c r="X77" s="40"/>
      <c r="Y77" s="40"/>
      <c r="Z77" s="40"/>
    </row>
    <row r="78" spans="1:26" ht="37.5">
      <c r="A78" s="17"/>
      <c r="B78" s="20" t="s">
        <v>259</v>
      </c>
      <c r="C78" s="21" t="s">
        <v>25</v>
      </c>
      <c r="D78" s="21" t="s">
        <v>26</v>
      </c>
      <c r="E78" s="22"/>
      <c r="F78" s="24" t="s">
        <v>260</v>
      </c>
      <c r="G78" s="26" t="s">
        <v>78</v>
      </c>
      <c r="H78" s="27">
        <v>90000</v>
      </c>
      <c r="I78" s="28"/>
      <c r="J78" s="54" t="str">
        <f>HYPERLINK("https://drive.google.com/open?id=1uRKauPNhvZ-Kx2o2zLSRMFbmPZrJaKkb","จากบัญชีของ สน.งปฯ ธ.ค.61")</f>
        <v>จากบัญชีของ สน.งปฯ ธ.ค.61</v>
      </c>
      <c r="K78" s="30"/>
      <c r="L78" s="31"/>
      <c r="M78" s="22"/>
      <c r="N78" s="32"/>
      <c r="O78" s="32"/>
      <c r="P78" s="32"/>
      <c r="Q78" s="32"/>
      <c r="R78" s="32"/>
      <c r="S78" s="32"/>
      <c r="T78" s="34"/>
      <c r="U78" s="34"/>
      <c r="V78" s="36" t="str">
        <f t="shared" si="0"/>
        <v>100</v>
      </c>
      <c r="W78" s="39">
        <f>COUNTIF('52-60'!$V$2:$V206,V78)-1</f>
        <v>-1</v>
      </c>
      <c r="X78" s="40"/>
      <c r="Y78" s="40"/>
      <c r="Z78" s="40"/>
    </row>
    <row r="79" spans="1:26" ht="37.5">
      <c r="A79" s="17"/>
      <c r="B79" s="20" t="s">
        <v>261</v>
      </c>
      <c r="C79" s="21" t="s">
        <v>25</v>
      </c>
      <c r="D79" s="21" t="s">
        <v>26</v>
      </c>
      <c r="E79" s="22"/>
      <c r="F79" s="24" t="s">
        <v>262</v>
      </c>
      <c r="G79" s="26" t="s">
        <v>78</v>
      </c>
      <c r="H79" s="27">
        <v>130000</v>
      </c>
      <c r="I79" s="28"/>
      <c r="J79" s="54" t="str">
        <f>HYPERLINK("https://drive.google.com/open?id=1uRKauPNhvZ-Kx2o2zLSRMFbmPZrJaKkb","จากบัญชีของ สน.งปฯ ธ.ค.61")</f>
        <v>จากบัญชีของ สน.งปฯ ธ.ค.61</v>
      </c>
      <c r="K79" s="30"/>
      <c r="L79" s="31"/>
      <c r="M79" s="22"/>
      <c r="N79" s="32"/>
      <c r="O79" s="32"/>
      <c r="P79" s="32"/>
      <c r="Q79" s="32"/>
      <c r="R79" s="32"/>
      <c r="S79" s="32"/>
      <c r="T79" s="34"/>
      <c r="U79" s="34"/>
      <c r="V79" s="36" t="str">
        <f t="shared" si="0"/>
        <v>100</v>
      </c>
      <c r="W79" s="39">
        <f>COUNTIF('52-60'!$V$2:$V206,V79)-1</f>
        <v>-1</v>
      </c>
      <c r="X79" s="40"/>
      <c r="Y79" s="40"/>
      <c r="Z79" s="40"/>
    </row>
    <row r="80" spans="1:26" ht="37.5">
      <c r="A80" s="17"/>
      <c r="B80" s="20" t="s">
        <v>264</v>
      </c>
      <c r="C80" s="21" t="s">
        <v>25</v>
      </c>
      <c r="D80" s="21" t="s">
        <v>26</v>
      </c>
      <c r="E80" s="22"/>
      <c r="F80" s="24" t="s">
        <v>266</v>
      </c>
      <c r="G80" s="26" t="s">
        <v>78</v>
      </c>
      <c r="H80" s="27">
        <v>180000</v>
      </c>
      <c r="I80" s="28"/>
      <c r="J80" s="54" t="str">
        <f>HYPERLINK("https://drive.google.com/open?id=1uRKauPNhvZ-Kx2o2zLSRMFbmPZrJaKkb","จากบัญชีของ สน.งปฯ ธ.ค.61")</f>
        <v>จากบัญชีของ สน.งปฯ ธ.ค.61</v>
      </c>
      <c r="K80" s="30"/>
      <c r="L80" s="31"/>
      <c r="M80" s="22"/>
      <c r="N80" s="32"/>
      <c r="O80" s="32"/>
      <c r="P80" s="32"/>
      <c r="Q80" s="32"/>
      <c r="R80" s="32"/>
      <c r="S80" s="32"/>
      <c r="T80" s="34"/>
      <c r="U80" s="34"/>
      <c r="V80" s="36" t="str">
        <f t="shared" si="0"/>
        <v>100</v>
      </c>
      <c r="W80" s="39">
        <f>COUNTIF('52-60'!$V$2:$V206,V80)-1</f>
        <v>-1</v>
      </c>
      <c r="X80" s="40"/>
      <c r="Y80" s="40"/>
      <c r="Z80" s="40"/>
    </row>
    <row r="81" spans="1:26" ht="37.5">
      <c r="A81" s="17"/>
      <c r="B81" s="20" t="s">
        <v>269</v>
      </c>
      <c r="C81" s="21" t="s">
        <v>25</v>
      </c>
      <c r="D81" s="21" t="s">
        <v>26</v>
      </c>
      <c r="E81" s="22"/>
      <c r="F81" s="24" t="s">
        <v>271</v>
      </c>
      <c r="G81" s="26" t="s">
        <v>78</v>
      </c>
      <c r="H81" s="27">
        <v>180000</v>
      </c>
      <c r="I81" s="28"/>
      <c r="J81" s="54" t="str">
        <f>HYPERLINK("https://drive.google.com/open?id=1uRKauPNhvZ-Kx2o2zLSRMFbmPZrJaKkb","จากบัญชีของ สน.งปฯ ธ.ค.61")</f>
        <v>จากบัญชีของ สน.งปฯ ธ.ค.61</v>
      </c>
      <c r="K81" s="30"/>
      <c r="L81" s="31"/>
      <c r="M81" s="22"/>
      <c r="N81" s="32"/>
      <c r="O81" s="32"/>
      <c r="P81" s="32"/>
      <c r="Q81" s="32"/>
      <c r="R81" s="32"/>
      <c r="S81" s="32"/>
      <c r="T81" s="34"/>
      <c r="U81" s="34"/>
      <c r="V81" s="36" t="str">
        <f t="shared" si="0"/>
        <v>100</v>
      </c>
      <c r="W81" s="39">
        <f>COUNTIF('52-60'!$V$2:$V206,V81)-1</f>
        <v>-1</v>
      </c>
      <c r="X81" s="40"/>
      <c r="Y81" s="40"/>
      <c r="Z81" s="40"/>
    </row>
    <row r="82" spans="1:26" ht="37.5">
      <c r="A82" s="17"/>
      <c r="B82" s="20" t="s">
        <v>274</v>
      </c>
      <c r="C82" s="21" t="s">
        <v>25</v>
      </c>
      <c r="D82" s="21" t="s">
        <v>26</v>
      </c>
      <c r="E82" s="22"/>
      <c r="F82" s="24" t="s">
        <v>275</v>
      </c>
      <c r="G82" s="26" t="s">
        <v>78</v>
      </c>
      <c r="H82" s="27">
        <v>13300</v>
      </c>
      <c r="I82" s="28"/>
      <c r="J82" s="29"/>
      <c r="K82" s="30"/>
      <c r="L82" s="31"/>
      <c r="M82" s="22"/>
      <c r="N82" s="32"/>
      <c r="O82" s="32"/>
      <c r="P82" s="32"/>
      <c r="Q82" s="32"/>
      <c r="R82" s="32"/>
      <c r="S82" s="32"/>
      <c r="T82" s="34"/>
      <c r="U82" s="34"/>
      <c r="V82" s="36" t="str">
        <f t="shared" si="0"/>
        <v>100</v>
      </c>
      <c r="W82" s="39">
        <f>COUNTIF('52-60'!$V$2:$V206,V82)-1</f>
        <v>-1</v>
      </c>
      <c r="X82" s="40"/>
      <c r="Y82" s="40"/>
      <c r="Z82" s="40"/>
    </row>
    <row r="83" spans="1:26" ht="37.5">
      <c r="A83" s="17"/>
      <c r="B83" s="20" t="s">
        <v>276</v>
      </c>
      <c r="C83" s="21" t="s">
        <v>25</v>
      </c>
      <c r="D83" s="21" t="s">
        <v>26</v>
      </c>
      <c r="E83" s="22"/>
      <c r="F83" s="24" t="s">
        <v>277</v>
      </c>
      <c r="G83" s="26" t="s">
        <v>78</v>
      </c>
      <c r="H83" s="27">
        <v>27700</v>
      </c>
      <c r="I83" s="28"/>
      <c r="J83" s="29"/>
      <c r="K83" s="30"/>
      <c r="L83" s="31"/>
      <c r="M83" s="22"/>
      <c r="N83" s="32"/>
      <c r="O83" s="32"/>
      <c r="P83" s="32"/>
      <c r="Q83" s="32"/>
      <c r="R83" s="32"/>
      <c r="S83" s="32"/>
      <c r="T83" s="34"/>
      <c r="U83" s="34"/>
      <c r="V83" s="36" t="str">
        <f t="shared" si="0"/>
        <v>100</v>
      </c>
      <c r="W83" s="39">
        <f>COUNTIF('52-60'!$V$2:$V206,V83)-1</f>
        <v>-1</v>
      </c>
      <c r="X83" s="40"/>
      <c r="Y83" s="40"/>
      <c r="Z83" s="40"/>
    </row>
    <row r="84" spans="1:26" ht="37.5">
      <c r="A84" s="17"/>
      <c r="B84" s="20" t="s">
        <v>280</v>
      </c>
      <c r="C84" s="21" t="s">
        <v>25</v>
      </c>
      <c r="D84" s="21" t="s">
        <v>26</v>
      </c>
      <c r="E84" s="22"/>
      <c r="F84" s="24" t="s">
        <v>281</v>
      </c>
      <c r="G84" s="26" t="s">
        <v>78</v>
      </c>
      <c r="H84" s="27">
        <v>28200</v>
      </c>
      <c r="I84" s="28"/>
      <c r="J84" s="29"/>
      <c r="K84" s="30"/>
      <c r="L84" s="31"/>
      <c r="M84" s="22"/>
      <c r="N84" s="32"/>
      <c r="O84" s="32"/>
      <c r="P84" s="32"/>
      <c r="Q84" s="32"/>
      <c r="R84" s="32"/>
      <c r="S84" s="32"/>
      <c r="T84" s="34"/>
      <c r="U84" s="34"/>
      <c r="V84" s="36" t="str">
        <f t="shared" si="0"/>
        <v>100</v>
      </c>
      <c r="W84" s="39">
        <f>COUNTIF('52-60'!$V$2:$V206,V84)-1</f>
        <v>-1</v>
      </c>
      <c r="X84" s="40"/>
      <c r="Y84" s="40"/>
      <c r="Z84" s="40"/>
    </row>
    <row r="85" spans="1:26" ht="37.5">
      <c r="A85" s="17"/>
      <c r="B85" s="20" t="s">
        <v>282</v>
      </c>
      <c r="C85" s="21" t="s">
        <v>25</v>
      </c>
      <c r="D85" s="21" t="s">
        <v>26</v>
      </c>
      <c r="E85" s="22"/>
      <c r="F85" s="24" t="s">
        <v>283</v>
      </c>
      <c r="G85" s="26" t="s">
        <v>78</v>
      </c>
      <c r="H85" s="27">
        <v>30300</v>
      </c>
      <c r="I85" s="28"/>
      <c r="J85" s="29"/>
      <c r="K85" s="30"/>
      <c r="L85" s="31"/>
      <c r="M85" s="22"/>
      <c r="N85" s="32"/>
      <c r="O85" s="32"/>
      <c r="P85" s="32"/>
      <c r="Q85" s="32"/>
      <c r="R85" s="32"/>
      <c r="S85" s="32"/>
      <c r="T85" s="34"/>
      <c r="U85" s="34"/>
      <c r="V85" s="36" t="str">
        <f t="shared" si="0"/>
        <v>100</v>
      </c>
      <c r="W85" s="39">
        <f>COUNTIF('52-60'!$V$2:$V206,V85)-1</f>
        <v>-1</v>
      </c>
      <c r="X85" s="40"/>
      <c r="Y85" s="40"/>
      <c r="Z85" s="40"/>
    </row>
    <row r="86" spans="1:26" ht="37.5">
      <c r="A86" s="17"/>
      <c r="B86" s="20" t="s">
        <v>286</v>
      </c>
      <c r="C86" s="21" t="s">
        <v>25</v>
      </c>
      <c r="D86" s="21" t="s">
        <v>26</v>
      </c>
      <c r="E86" s="22"/>
      <c r="F86" s="24" t="s">
        <v>287</v>
      </c>
      <c r="G86" s="26" t="s">
        <v>78</v>
      </c>
      <c r="H86" s="27">
        <v>42500</v>
      </c>
      <c r="I86" s="28"/>
      <c r="J86" s="29"/>
      <c r="K86" s="30"/>
      <c r="L86" s="31"/>
      <c r="M86" s="22"/>
      <c r="N86" s="32"/>
      <c r="O86" s="32"/>
      <c r="P86" s="32"/>
      <c r="Q86" s="32"/>
      <c r="R86" s="32"/>
      <c r="S86" s="32"/>
      <c r="T86" s="34"/>
      <c r="U86" s="34"/>
      <c r="V86" s="36" t="str">
        <f t="shared" si="0"/>
        <v>100</v>
      </c>
      <c r="W86" s="39">
        <f>COUNTIF('52-60'!$V$2:$V206,V86)-1</f>
        <v>-1</v>
      </c>
      <c r="X86" s="40"/>
      <c r="Y86" s="40"/>
      <c r="Z86" s="40"/>
    </row>
    <row r="87" spans="1:26" ht="37.5">
      <c r="A87" s="17"/>
      <c r="B87" s="20" t="s">
        <v>288</v>
      </c>
      <c r="C87" s="21" t="s">
        <v>25</v>
      </c>
      <c r="D87" s="21" t="s">
        <v>26</v>
      </c>
      <c r="E87" s="22"/>
      <c r="F87" s="24" t="s">
        <v>289</v>
      </c>
      <c r="G87" s="26" t="s">
        <v>78</v>
      </c>
      <c r="H87" s="27">
        <v>54400</v>
      </c>
      <c r="I87" s="28"/>
      <c r="J87" s="29"/>
      <c r="K87" s="30"/>
      <c r="L87" s="31"/>
      <c r="M87" s="22"/>
      <c r="N87" s="32"/>
      <c r="O87" s="32"/>
      <c r="P87" s="32"/>
      <c r="Q87" s="32"/>
      <c r="R87" s="32"/>
      <c r="S87" s="32"/>
      <c r="T87" s="34"/>
      <c r="U87" s="34"/>
      <c r="V87" s="36" t="str">
        <f t="shared" si="0"/>
        <v>100</v>
      </c>
      <c r="W87" s="39">
        <f>COUNTIF('52-60'!$V$2:$V206,V87)-1</f>
        <v>-1</v>
      </c>
      <c r="X87" s="40"/>
      <c r="Y87" s="40"/>
      <c r="Z87" s="40"/>
    </row>
    <row r="88" spans="1:26" ht="37.5">
      <c r="A88" s="17"/>
      <c r="B88" s="20" t="s">
        <v>290</v>
      </c>
      <c r="C88" s="21" t="s">
        <v>25</v>
      </c>
      <c r="D88" s="21" t="s">
        <v>26</v>
      </c>
      <c r="E88" s="22"/>
      <c r="F88" s="24" t="s">
        <v>291</v>
      </c>
      <c r="G88" s="26" t="s">
        <v>78</v>
      </c>
      <c r="H88" s="27">
        <v>24000</v>
      </c>
      <c r="I88" s="28"/>
      <c r="J88" s="54" t="str">
        <f>HYPERLINK("https://drive.google.com/open?id=1uRKauPNhvZ-Kx2o2zLSRMFbmPZrJaKkb","จากบัญชีของ สน.งปฯ ธ.ค.61")</f>
        <v>จากบัญชีของ สน.งปฯ ธ.ค.61</v>
      </c>
      <c r="K88" s="30"/>
      <c r="L88" s="31"/>
      <c r="M88" s="22"/>
      <c r="N88" s="32"/>
      <c r="O88" s="32"/>
      <c r="P88" s="32"/>
      <c r="Q88" s="32"/>
      <c r="R88" s="32"/>
      <c r="S88" s="32"/>
      <c r="T88" s="34"/>
      <c r="U88" s="34"/>
      <c r="V88" s="36" t="str">
        <f t="shared" si="0"/>
        <v>100</v>
      </c>
      <c r="W88" s="39">
        <f>COUNTIF('52-60'!$V$2:$V206,V88)-1</f>
        <v>-1</v>
      </c>
      <c r="X88" s="40"/>
      <c r="Y88" s="40"/>
      <c r="Z88" s="40"/>
    </row>
    <row r="89" spans="1:26" ht="37.5">
      <c r="A89" s="17"/>
      <c r="B89" s="20" t="s">
        <v>292</v>
      </c>
      <c r="C89" s="21" t="s">
        <v>25</v>
      </c>
      <c r="D89" s="21" t="s">
        <v>26</v>
      </c>
      <c r="E89" s="22"/>
      <c r="F89" s="24" t="s">
        <v>293</v>
      </c>
      <c r="G89" s="26" t="s">
        <v>78</v>
      </c>
      <c r="H89" s="27">
        <v>28000</v>
      </c>
      <c r="I89" s="28"/>
      <c r="J89" s="54" t="str">
        <f>HYPERLINK("https://drive.google.com/open?id=1uRKauPNhvZ-Kx2o2zLSRMFbmPZrJaKkb","จากบัญชีของ สน.งปฯ ธ.ค.61")</f>
        <v>จากบัญชีของ สน.งปฯ ธ.ค.61</v>
      </c>
      <c r="K89" s="30"/>
      <c r="L89" s="31"/>
      <c r="M89" s="22"/>
      <c r="N89" s="32"/>
      <c r="O89" s="32"/>
      <c r="P89" s="32"/>
      <c r="Q89" s="32"/>
      <c r="R89" s="32"/>
      <c r="S89" s="32"/>
      <c r="T89" s="34"/>
      <c r="U89" s="34"/>
      <c r="V89" s="36" t="str">
        <f t="shared" si="0"/>
        <v>100</v>
      </c>
      <c r="W89" s="39">
        <f>COUNTIF('52-60'!$V$2:$V206,V89)-1</f>
        <v>-1</v>
      </c>
      <c r="X89" s="40"/>
      <c r="Y89" s="40"/>
      <c r="Z89" s="40"/>
    </row>
    <row r="90" spans="1:26" ht="37.5">
      <c r="A90" s="17"/>
      <c r="B90" s="20" t="s">
        <v>295</v>
      </c>
      <c r="C90" s="21" t="s">
        <v>25</v>
      </c>
      <c r="D90" s="21" t="s">
        <v>26</v>
      </c>
      <c r="E90" s="22"/>
      <c r="F90" s="24" t="s">
        <v>296</v>
      </c>
      <c r="G90" s="26" t="s">
        <v>78</v>
      </c>
      <c r="H90" s="27">
        <v>30000</v>
      </c>
      <c r="I90" s="28"/>
      <c r="J90" s="54" t="str">
        <f>HYPERLINK("https://drive.google.com/open?id=1uRKauPNhvZ-Kx2o2zLSRMFbmPZrJaKkb","จากบัญชีของ สน.งปฯ ธ.ค.61")</f>
        <v>จากบัญชีของ สน.งปฯ ธ.ค.61</v>
      </c>
      <c r="K90" s="30"/>
      <c r="L90" s="31"/>
      <c r="M90" s="22"/>
      <c r="N90" s="32"/>
      <c r="O90" s="32"/>
      <c r="P90" s="32"/>
      <c r="Q90" s="32"/>
      <c r="R90" s="32"/>
      <c r="S90" s="32"/>
      <c r="T90" s="34"/>
      <c r="U90" s="34"/>
      <c r="V90" s="36" t="str">
        <f t="shared" si="0"/>
        <v>100</v>
      </c>
      <c r="W90" s="39">
        <f>COUNTIF('52-60'!$V$2:$V206,V90)-1</f>
        <v>-1</v>
      </c>
      <c r="X90" s="40"/>
      <c r="Y90" s="40"/>
      <c r="Z90" s="40"/>
    </row>
    <row r="91" spans="1:26" ht="18.75">
      <c r="A91" s="17"/>
      <c r="B91" s="20" t="s">
        <v>297</v>
      </c>
      <c r="C91" s="21" t="s">
        <v>25</v>
      </c>
      <c r="D91" s="21" t="s">
        <v>26</v>
      </c>
      <c r="E91" s="22"/>
      <c r="F91" s="24" t="s">
        <v>298</v>
      </c>
      <c r="G91" s="26" t="s">
        <v>78</v>
      </c>
      <c r="H91" s="27">
        <v>12000</v>
      </c>
      <c r="I91" s="28"/>
      <c r="J91" s="54" t="str">
        <f>HYPERLINK("https://drive.google.com/open?id=1uRKauPNhvZ-Kx2o2zLSRMFbmPZrJaKkb","จากบัญชีของ สน.งปฯ ธ.ค.61")</f>
        <v>จากบัญชีของ สน.งปฯ ธ.ค.61</v>
      </c>
      <c r="K91" s="30"/>
      <c r="L91" s="31"/>
      <c r="M91" s="22"/>
      <c r="N91" s="32"/>
      <c r="O91" s="32"/>
      <c r="P91" s="32"/>
      <c r="Q91" s="32"/>
      <c r="R91" s="32"/>
      <c r="S91" s="32"/>
      <c r="T91" s="34"/>
      <c r="U91" s="34"/>
      <c r="V91" s="36" t="str">
        <f t="shared" si="0"/>
        <v>100</v>
      </c>
      <c r="W91" s="39">
        <f>COUNTIF('52-60'!$V$2:$V206,V91)-1</f>
        <v>-1</v>
      </c>
      <c r="X91" s="40"/>
      <c r="Y91" s="40"/>
      <c r="Z91" s="40"/>
    </row>
    <row r="92" spans="1:26" ht="18.75">
      <c r="A92" s="17"/>
      <c r="B92" s="20" t="s">
        <v>299</v>
      </c>
      <c r="C92" s="21" t="s">
        <v>25</v>
      </c>
      <c r="D92" s="21" t="s">
        <v>26</v>
      </c>
      <c r="E92" s="22"/>
      <c r="F92" s="24" t="s">
        <v>300</v>
      </c>
      <c r="G92" s="26" t="s">
        <v>78</v>
      </c>
      <c r="H92" s="27">
        <v>9500</v>
      </c>
      <c r="I92" s="28"/>
      <c r="J92" s="54" t="str">
        <f>HYPERLINK("https://drive.google.com/open?id=1uRKauPNhvZ-Kx2o2zLSRMFbmPZrJaKkb","จากบัญชีของ สน.งปฯ ธ.ค.61")</f>
        <v>จากบัญชีของ สน.งปฯ ธ.ค.61</v>
      </c>
      <c r="K92" s="30"/>
      <c r="L92" s="31"/>
      <c r="M92" s="22"/>
      <c r="N92" s="32"/>
      <c r="O92" s="32"/>
      <c r="P92" s="32"/>
      <c r="Q92" s="32"/>
      <c r="R92" s="32"/>
      <c r="S92" s="32"/>
      <c r="T92" s="34"/>
      <c r="U92" s="34"/>
      <c r="V92" s="36" t="str">
        <f t="shared" si="0"/>
        <v>100</v>
      </c>
      <c r="W92" s="39">
        <f>COUNTIF('52-60'!$V$2:$V206,V92)-1</f>
        <v>-1</v>
      </c>
      <c r="X92" s="40"/>
      <c r="Y92" s="40"/>
      <c r="Z92" s="40"/>
    </row>
    <row r="93" spans="1:26" ht="18.75">
      <c r="A93" s="17"/>
      <c r="B93" s="20" t="s">
        <v>301</v>
      </c>
      <c r="C93" s="21" t="s">
        <v>25</v>
      </c>
      <c r="D93" s="21" t="s">
        <v>26</v>
      </c>
      <c r="E93" s="22"/>
      <c r="F93" s="24" t="s">
        <v>302</v>
      </c>
      <c r="G93" s="26" t="s">
        <v>78</v>
      </c>
      <c r="H93" s="27">
        <v>7900</v>
      </c>
      <c r="I93" s="28"/>
      <c r="J93" s="29"/>
      <c r="K93" s="30"/>
      <c r="L93" s="31"/>
      <c r="M93" s="22"/>
      <c r="N93" s="32"/>
      <c r="O93" s="32"/>
      <c r="P93" s="32"/>
      <c r="Q93" s="32"/>
      <c r="R93" s="32"/>
      <c r="S93" s="32"/>
      <c r="T93" s="34"/>
      <c r="U93" s="34"/>
      <c r="V93" s="36" t="str">
        <f t="shared" si="0"/>
        <v>100</v>
      </c>
      <c r="W93" s="39">
        <f>COUNTIF('52-60'!$V$2:$V206,V93)-1</f>
        <v>-1</v>
      </c>
      <c r="X93" s="40"/>
      <c r="Y93" s="40"/>
      <c r="Z93" s="40"/>
    </row>
    <row r="94" spans="1:26" ht="18.75">
      <c r="A94" s="17"/>
      <c r="B94" s="20" t="s">
        <v>304</v>
      </c>
      <c r="C94" s="21" t="s">
        <v>25</v>
      </c>
      <c r="D94" s="21" t="s">
        <v>26</v>
      </c>
      <c r="E94" s="22"/>
      <c r="F94" s="24" t="s">
        <v>305</v>
      </c>
      <c r="G94" s="26" t="s">
        <v>78</v>
      </c>
      <c r="H94" s="27">
        <v>70000</v>
      </c>
      <c r="I94" s="28"/>
      <c r="J94" s="29"/>
      <c r="K94" s="30"/>
      <c r="L94" s="31"/>
      <c r="M94" s="22"/>
      <c r="N94" s="32"/>
      <c r="O94" s="32"/>
      <c r="P94" s="32"/>
      <c r="Q94" s="32"/>
      <c r="R94" s="32"/>
      <c r="S94" s="32"/>
      <c r="T94" s="34"/>
      <c r="U94" s="34"/>
      <c r="V94" s="36" t="str">
        <f t="shared" si="0"/>
        <v>100</v>
      </c>
      <c r="W94" s="39">
        <f>COUNTIF('52-60'!$V$2:$V206,V94)-1</f>
        <v>-1</v>
      </c>
      <c r="X94" s="40"/>
      <c r="Y94" s="40"/>
      <c r="Z94" s="40"/>
    </row>
    <row r="95" spans="1:26" ht="18.75">
      <c r="A95" s="17"/>
      <c r="B95" s="20" t="s">
        <v>306</v>
      </c>
      <c r="C95" s="21" t="s">
        <v>25</v>
      </c>
      <c r="D95" s="21" t="s">
        <v>26</v>
      </c>
      <c r="E95" s="22"/>
      <c r="F95" s="24" t="s">
        <v>307</v>
      </c>
      <c r="G95" s="26" t="s">
        <v>78</v>
      </c>
      <c r="H95" s="27">
        <v>22000</v>
      </c>
      <c r="I95" s="28"/>
      <c r="J95" s="29"/>
      <c r="K95" s="30"/>
      <c r="L95" s="31"/>
      <c r="M95" s="22"/>
      <c r="N95" s="32"/>
      <c r="O95" s="32"/>
      <c r="P95" s="32"/>
      <c r="Q95" s="32"/>
      <c r="R95" s="32"/>
      <c r="S95" s="32"/>
      <c r="T95" s="34"/>
      <c r="U95" s="34"/>
      <c r="V95" s="36" t="str">
        <f t="shared" si="0"/>
        <v>100</v>
      </c>
      <c r="W95" s="39">
        <f>COUNTIF('52-60'!$V$2:$V206,V95)-1</f>
        <v>-1</v>
      </c>
      <c r="X95" s="40"/>
      <c r="Y95" s="40"/>
      <c r="Z95" s="40"/>
    </row>
    <row r="96" spans="1:26" ht="18.75">
      <c r="A96" s="17"/>
      <c r="B96" s="20" t="s">
        <v>308</v>
      </c>
      <c r="C96" s="21" t="s">
        <v>25</v>
      </c>
      <c r="D96" s="21" t="s">
        <v>26</v>
      </c>
      <c r="E96" s="22"/>
      <c r="F96" s="24" t="s">
        <v>309</v>
      </c>
      <c r="G96" s="26" t="s">
        <v>78</v>
      </c>
      <c r="H96" s="27">
        <v>9700</v>
      </c>
      <c r="I96" s="28"/>
      <c r="J96" s="54" t="str">
        <f>HYPERLINK("https://drive.google.com/open?id=1uRKauPNhvZ-Kx2o2zLSRMFbmPZrJaKkb","จากบัญชีของ สน.งปฯ ธ.ค.61")</f>
        <v>จากบัญชีของ สน.งปฯ ธ.ค.61</v>
      </c>
      <c r="K96" s="30"/>
      <c r="L96" s="31"/>
      <c r="M96" s="22"/>
      <c r="N96" s="32"/>
      <c r="O96" s="32"/>
      <c r="P96" s="32"/>
      <c r="Q96" s="32"/>
      <c r="R96" s="32"/>
      <c r="S96" s="32"/>
      <c r="T96" s="34"/>
      <c r="U96" s="34"/>
      <c r="V96" s="36" t="str">
        <f t="shared" si="0"/>
        <v>100</v>
      </c>
      <c r="W96" s="39">
        <f>COUNTIF('52-60'!$V$2:$V206,V96)-1</f>
        <v>-1</v>
      </c>
      <c r="X96" s="40"/>
      <c r="Y96" s="40"/>
      <c r="Z96" s="40"/>
    </row>
    <row r="97" spans="1:26" ht="18.75">
      <c r="A97" s="17"/>
      <c r="B97" s="20" t="s">
        <v>311</v>
      </c>
      <c r="C97" s="21" t="s">
        <v>25</v>
      </c>
      <c r="D97" s="21" t="s">
        <v>26</v>
      </c>
      <c r="E97" s="22"/>
      <c r="F97" s="24" t="s">
        <v>312</v>
      </c>
      <c r="G97" s="26" t="s">
        <v>78</v>
      </c>
      <c r="H97" s="27">
        <v>24500</v>
      </c>
      <c r="I97" s="28"/>
      <c r="J97" s="54" t="str">
        <f>HYPERLINK("https://drive.google.com/open?id=1uRKauPNhvZ-Kx2o2zLSRMFbmPZrJaKkb","จากบัญชีของ สน.งปฯ ธ.ค.61")</f>
        <v>จากบัญชีของ สน.งปฯ ธ.ค.61</v>
      </c>
      <c r="K97" s="30"/>
      <c r="L97" s="31"/>
      <c r="M97" s="22"/>
      <c r="N97" s="32"/>
      <c r="O97" s="32"/>
      <c r="P97" s="32"/>
      <c r="Q97" s="32"/>
      <c r="R97" s="32"/>
      <c r="S97" s="32"/>
      <c r="T97" s="34"/>
      <c r="U97" s="34"/>
      <c r="V97" s="36" t="str">
        <f t="shared" si="0"/>
        <v>100</v>
      </c>
      <c r="W97" s="39">
        <f>COUNTIF('52-60'!$V$2:$V206,V97)-1</f>
        <v>-1</v>
      </c>
      <c r="X97" s="40"/>
      <c r="Y97" s="40"/>
      <c r="Z97" s="40"/>
    </row>
    <row r="98" spans="1:26" ht="18.75">
      <c r="A98" s="17"/>
      <c r="B98" s="20" t="s">
        <v>314</v>
      </c>
      <c r="C98" s="21" t="s">
        <v>25</v>
      </c>
      <c r="D98" s="21" t="s">
        <v>26</v>
      </c>
      <c r="E98" s="22"/>
      <c r="F98" s="24" t="s">
        <v>312</v>
      </c>
      <c r="G98" s="26" t="s">
        <v>36</v>
      </c>
      <c r="H98" s="27">
        <v>25000</v>
      </c>
      <c r="I98" s="28"/>
      <c r="J98" s="29"/>
      <c r="K98" s="30"/>
      <c r="L98" s="31"/>
      <c r="M98" s="22"/>
      <c r="N98" s="32"/>
      <c r="O98" s="32"/>
      <c r="P98" s="32"/>
      <c r="Q98" s="32"/>
      <c r="R98" s="32"/>
      <c r="S98" s="32"/>
      <c r="T98" s="34"/>
      <c r="U98" s="34"/>
      <c r="V98" s="36" t="str">
        <f t="shared" si="0"/>
        <v>100</v>
      </c>
      <c r="W98" s="39">
        <f>COUNTIF('52-60'!$V$2:$V206,V98)-1</f>
        <v>-1</v>
      </c>
      <c r="X98" s="40"/>
      <c r="Y98" s="40"/>
      <c r="Z98" s="40"/>
    </row>
    <row r="99" spans="1:26" ht="18.75">
      <c r="A99" s="17"/>
      <c r="B99" s="20" t="s">
        <v>317</v>
      </c>
      <c r="C99" s="21" t="s">
        <v>25</v>
      </c>
      <c r="D99" s="21" t="s">
        <v>26</v>
      </c>
      <c r="E99" s="22"/>
      <c r="F99" s="24" t="s">
        <v>318</v>
      </c>
      <c r="G99" s="26" t="s">
        <v>78</v>
      </c>
      <c r="H99" s="27">
        <v>250000</v>
      </c>
      <c r="I99" s="28"/>
      <c r="J99" s="29"/>
      <c r="K99" s="30"/>
      <c r="L99" s="31"/>
      <c r="M99" s="22"/>
      <c r="N99" s="32"/>
      <c r="O99" s="32"/>
      <c r="P99" s="32"/>
      <c r="Q99" s="32"/>
      <c r="R99" s="32"/>
      <c r="S99" s="32"/>
      <c r="T99" s="34"/>
      <c r="U99" s="34"/>
      <c r="V99" s="36" t="str">
        <f t="shared" si="0"/>
        <v>100</v>
      </c>
      <c r="W99" s="39">
        <f>COUNTIF('52-60'!$V$2:$V206,V99)-1</f>
        <v>-1</v>
      </c>
      <c r="X99" s="40"/>
      <c r="Y99" s="40"/>
      <c r="Z99" s="40"/>
    </row>
    <row r="100" spans="1:26" ht="18.75">
      <c r="A100" s="17"/>
      <c r="B100" s="20" t="s">
        <v>321</v>
      </c>
      <c r="C100" s="21" t="s">
        <v>25</v>
      </c>
      <c r="D100" s="21" t="s">
        <v>26</v>
      </c>
      <c r="E100" s="22"/>
      <c r="F100" s="24" t="s">
        <v>322</v>
      </c>
      <c r="G100" s="26" t="s">
        <v>78</v>
      </c>
      <c r="H100" s="27">
        <v>430000</v>
      </c>
      <c r="I100" s="28"/>
      <c r="J100" s="29"/>
      <c r="K100" s="30"/>
      <c r="L100" s="31"/>
      <c r="M100" s="22"/>
      <c r="N100" s="32"/>
      <c r="O100" s="32"/>
      <c r="P100" s="32"/>
      <c r="Q100" s="32"/>
      <c r="R100" s="32"/>
      <c r="S100" s="32"/>
      <c r="T100" s="34"/>
      <c r="U100" s="34"/>
      <c r="V100" s="36" t="str">
        <f t="shared" si="0"/>
        <v>100</v>
      </c>
      <c r="W100" s="39">
        <f>COUNTIF('52-60'!$V$2:$V206,V100)-1</f>
        <v>-1</v>
      </c>
      <c r="X100" s="40"/>
      <c r="Y100" s="40"/>
      <c r="Z100" s="40"/>
    </row>
    <row r="101" spans="1:26" ht="18.75">
      <c r="A101" s="17"/>
      <c r="B101" s="20" t="s">
        <v>323</v>
      </c>
      <c r="C101" s="21" t="s">
        <v>25</v>
      </c>
      <c r="D101" s="21" t="s">
        <v>26</v>
      </c>
      <c r="E101" s="22"/>
      <c r="F101" s="24" t="s">
        <v>324</v>
      </c>
      <c r="G101" s="26" t="s">
        <v>78</v>
      </c>
      <c r="H101" s="27">
        <v>200000</v>
      </c>
      <c r="I101" s="28"/>
      <c r="J101" s="29"/>
      <c r="K101" s="30"/>
      <c r="L101" s="31"/>
      <c r="M101" s="22"/>
      <c r="N101" s="32"/>
      <c r="O101" s="32"/>
      <c r="P101" s="32"/>
      <c r="Q101" s="32"/>
      <c r="R101" s="32"/>
      <c r="S101" s="32"/>
      <c r="T101" s="34"/>
      <c r="U101" s="34"/>
      <c r="V101" s="36" t="str">
        <f t="shared" si="0"/>
        <v>100</v>
      </c>
      <c r="W101" s="39">
        <f>COUNTIF('52-60'!$V$2:$V206,V101)-1</f>
        <v>-1</v>
      </c>
      <c r="X101" s="40"/>
      <c r="Y101" s="40"/>
      <c r="Z101" s="40"/>
    </row>
    <row r="102" spans="1:26" ht="18.75">
      <c r="A102" s="17"/>
      <c r="B102" s="20" t="s">
        <v>327</v>
      </c>
      <c r="C102" s="21" t="s">
        <v>25</v>
      </c>
      <c r="D102" s="21" t="s">
        <v>26</v>
      </c>
      <c r="E102" s="22"/>
      <c r="F102" s="24" t="s">
        <v>328</v>
      </c>
      <c r="G102" s="26" t="s">
        <v>78</v>
      </c>
      <c r="H102" s="27">
        <v>66000</v>
      </c>
      <c r="I102" s="28"/>
      <c r="J102" s="54" t="str">
        <f>HYPERLINK("https://drive.google.com/open?id=1uRKauPNhvZ-Kx2o2zLSRMFbmPZrJaKkb","จากบัญชีของ สน.งปฯ ธ.ค.61")</f>
        <v>จากบัญชีของ สน.งปฯ ธ.ค.61</v>
      </c>
      <c r="K102" s="30"/>
      <c r="L102" s="31"/>
      <c r="M102" s="22"/>
      <c r="N102" s="32"/>
      <c r="O102" s="32"/>
      <c r="P102" s="32"/>
      <c r="Q102" s="32"/>
      <c r="R102" s="32"/>
      <c r="S102" s="32"/>
      <c r="T102" s="34"/>
      <c r="U102" s="34"/>
      <c r="V102" s="36" t="str">
        <f t="shared" si="0"/>
        <v>100</v>
      </c>
      <c r="W102" s="39">
        <f>COUNTIF('52-60'!$V$2:$V206,V102)-1</f>
        <v>-1</v>
      </c>
      <c r="X102" s="40"/>
      <c r="Y102" s="40"/>
      <c r="Z102" s="40"/>
    </row>
    <row r="103" spans="1:26" ht="37.5">
      <c r="A103" s="17"/>
      <c r="B103" s="20" t="s">
        <v>329</v>
      </c>
      <c r="C103" s="21" t="s">
        <v>25</v>
      </c>
      <c r="D103" s="21" t="s">
        <v>26</v>
      </c>
      <c r="E103" s="22"/>
      <c r="F103" s="24" t="s">
        <v>330</v>
      </c>
      <c r="G103" s="26" t="s">
        <v>331</v>
      </c>
      <c r="H103" s="27">
        <v>9500</v>
      </c>
      <c r="I103" s="28"/>
      <c r="J103" s="29"/>
      <c r="K103" s="30"/>
      <c r="L103" s="31"/>
      <c r="M103" s="22"/>
      <c r="N103" s="32"/>
      <c r="O103" s="32"/>
      <c r="P103" s="32"/>
      <c r="Q103" s="32"/>
      <c r="R103" s="32"/>
      <c r="S103" s="32"/>
      <c r="T103" s="34"/>
      <c r="U103" s="34"/>
      <c r="V103" s="36" t="str">
        <f t="shared" si="0"/>
        <v>100</v>
      </c>
      <c r="W103" s="39">
        <f>COUNTIF('52-60'!$V$2:$V206,V103)-1</f>
        <v>-1</v>
      </c>
      <c r="X103" s="40"/>
      <c r="Y103" s="40"/>
      <c r="Z103" s="40"/>
    </row>
    <row r="104" spans="1:26" ht="37.5">
      <c r="A104" s="17"/>
      <c r="B104" s="20" t="s">
        <v>332</v>
      </c>
      <c r="C104" s="21" t="s">
        <v>25</v>
      </c>
      <c r="D104" s="21" t="s">
        <v>26</v>
      </c>
      <c r="E104" s="22"/>
      <c r="F104" s="24" t="s">
        <v>333</v>
      </c>
      <c r="G104" s="26" t="s">
        <v>331</v>
      </c>
      <c r="H104" s="27">
        <v>13100</v>
      </c>
      <c r="I104" s="28"/>
      <c r="J104" s="29"/>
      <c r="K104" s="30"/>
      <c r="L104" s="31"/>
      <c r="M104" s="22"/>
      <c r="N104" s="32"/>
      <c r="O104" s="32"/>
      <c r="P104" s="32"/>
      <c r="Q104" s="32"/>
      <c r="R104" s="32"/>
      <c r="S104" s="32"/>
      <c r="T104" s="34"/>
      <c r="U104" s="34"/>
      <c r="V104" s="36" t="str">
        <f t="shared" si="0"/>
        <v>100</v>
      </c>
      <c r="W104" s="39">
        <f>COUNTIF('52-60'!$V$2:$V206,V104)-1</f>
        <v>-1</v>
      </c>
      <c r="X104" s="40"/>
      <c r="Y104" s="40"/>
      <c r="Z104" s="40"/>
    </row>
    <row r="105" spans="1:26" ht="37.5">
      <c r="A105" s="17"/>
      <c r="B105" s="20" t="s">
        <v>334</v>
      </c>
      <c r="C105" s="21" t="s">
        <v>25</v>
      </c>
      <c r="D105" s="21" t="s">
        <v>26</v>
      </c>
      <c r="E105" s="22"/>
      <c r="F105" s="24" t="s">
        <v>335</v>
      </c>
      <c r="G105" s="26" t="s">
        <v>331</v>
      </c>
      <c r="H105" s="27">
        <v>21800</v>
      </c>
      <c r="I105" s="28"/>
      <c r="J105" s="29"/>
      <c r="K105" s="30"/>
      <c r="L105" s="31"/>
      <c r="M105" s="22"/>
      <c r="N105" s="32"/>
      <c r="O105" s="32"/>
      <c r="P105" s="32"/>
      <c r="Q105" s="32"/>
      <c r="R105" s="32"/>
      <c r="S105" s="32"/>
      <c r="T105" s="34"/>
      <c r="U105" s="34"/>
      <c r="V105" s="36" t="str">
        <f t="shared" si="0"/>
        <v>100</v>
      </c>
      <c r="W105" s="39">
        <f>COUNTIF('52-60'!$V$2:$V206,V105)-1</f>
        <v>-1</v>
      </c>
      <c r="X105" s="40"/>
      <c r="Y105" s="40"/>
      <c r="Z105" s="40"/>
    </row>
    <row r="106" spans="1:26" ht="37.5">
      <c r="A106" s="17"/>
      <c r="B106" s="20" t="s">
        <v>336</v>
      </c>
      <c r="C106" s="21" t="s">
        <v>25</v>
      </c>
      <c r="D106" s="21" t="s">
        <v>26</v>
      </c>
      <c r="E106" s="22"/>
      <c r="F106" s="24" t="s">
        <v>337</v>
      </c>
      <c r="G106" s="26" t="s">
        <v>331</v>
      </c>
      <c r="H106" s="27">
        <v>35200</v>
      </c>
      <c r="I106" s="28"/>
      <c r="J106" s="29"/>
      <c r="K106" s="30"/>
      <c r="L106" s="31"/>
      <c r="M106" s="22"/>
      <c r="N106" s="32"/>
      <c r="O106" s="32"/>
      <c r="P106" s="32"/>
      <c r="Q106" s="32"/>
      <c r="R106" s="32"/>
      <c r="S106" s="32"/>
      <c r="T106" s="34"/>
      <c r="U106" s="34"/>
      <c r="V106" s="36" t="str">
        <f t="shared" si="0"/>
        <v>100</v>
      </c>
      <c r="W106" s="39">
        <f>COUNTIF('52-60'!$V$2:$V206,V106)-1</f>
        <v>-1</v>
      </c>
      <c r="X106" s="40"/>
      <c r="Y106" s="40"/>
      <c r="Z106" s="40"/>
    </row>
    <row r="107" spans="1:26" ht="37.5">
      <c r="A107" s="17"/>
      <c r="B107" s="20" t="s">
        <v>338</v>
      </c>
      <c r="C107" s="21" t="s">
        <v>25</v>
      </c>
      <c r="D107" s="21" t="s">
        <v>26</v>
      </c>
      <c r="E107" s="22"/>
      <c r="F107" s="24" t="s">
        <v>339</v>
      </c>
      <c r="G107" s="26" t="s">
        <v>331</v>
      </c>
      <c r="H107" s="27">
        <v>40000</v>
      </c>
      <c r="I107" s="28"/>
      <c r="J107" s="29"/>
      <c r="K107" s="30"/>
      <c r="L107" s="31"/>
      <c r="M107" s="22"/>
      <c r="N107" s="32"/>
      <c r="O107" s="32"/>
      <c r="P107" s="32"/>
      <c r="Q107" s="32"/>
      <c r="R107" s="32"/>
      <c r="S107" s="32"/>
      <c r="T107" s="34"/>
      <c r="U107" s="34"/>
      <c r="V107" s="36" t="str">
        <f t="shared" si="0"/>
        <v>100</v>
      </c>
      <c r="W107" s="39">
        <f>COUNTIF('52-60'!$V$2:$V206,V107)-1</f>
        <v>-1</v>
      </c>
      <c r="X107" s="40"/>
      <c r="Y107" s="40"/>
      <c r="Z107" s="40"/>
    </row>
    <row r="108" spans="1:26" ht="18.75">
      <c r="A108" s="17"/>
      <c r="B108" s="20" t="s">
        <v>342</v>
      </c>
      <c r="C108" s="21" t="s">
        <v>25</v>
      </c>
      <c r="D108" s="21" t="s">
        <v>26</v>
      </c>
      <c r="E108" s="22"/>
      <c r="F108" s="24" t="s">
        <v>343</v>
      </c>
      <c r="G108" s="26" t="s">
        <v>28</v>
      </c>
      <c r="H108" s="27">
        <v>8800</v>
      </c>
      <c r="I108" s="28"/>
      <c r="J108" s="29"/>
      <c r="K108" s="30"/>
      <c r="L108" s="31"/>
      <c r="M108" s="22"/>
      <c r="N108" s="32"/>
      <c r="O108" s="32"/>
      <c r="P108" s="32"/>
      <c r="Q108" s="32"/>
      <c r="R108" s="32"/>
      <c r="S108" s="32"/>
      <c r="T108" s="34"/>
      <c r="U108" s="34"/>
      <c r="V108" s="36" t="str">
        <f t="shared" si="0"/>
        <v>100</v>
      </c>
      <c r="W108" s="39">
        <f>COUNTIF('52-60'!$V$2:$V206,V108)-1</f>
        <v>-1</v>
      </c>
      <c r="X108" s="40"/>
      <c r="Y108" s="40"/>
      <c r="Z108" s="40"/>
    </row>
    <row r="109" spans="1:26" ht="18.75">
      <c r="A109" s="17"/>
      <c r="B109" s="20" t="s">
        <v>344</v>
      </c>
      <c r="C109" s="21" t="s">
        <v>25</v>
      </c>
      <c r="D109" s="21" t="s">
        <v>26</v>
      </c>
      <c r="E109" s="22"/>
      <c r="F109" s="24" t="s">
        <v>345</v>
      </c>
      <c r="G109" s="26" t="s">
        <v>28</v>
      </c>
      <c r="H109" s="27">
        <v>14000</v>
      </c>
      <c r="I109" s="28"/>
      <c r="J109" s="29"/>
      <c r="K109" s="30"/>
      <c r="L109" s="31"/>
      <c r="M109" s="22"/>
      <c r="N109" s="32"/>
      <c r="O109" s="32"/>
      <c r="P109" s="32"/>
      <c r="Q109" s="32"/>
      <c r="R109" s="32"/>
      <c r="S109" s="32"/>
      <c r="T109" s="34"/>
      <c r="U109" s="34"/>
      <c r="V109" s="36" t="str">
        <f t="shared" si="0"/>
        <v>100</v>
      </c>
      <c r="W109" s="39">
        <f>COUNTIF('52-60'!$V$2:$V206,V109)-1</f>
        <v>-1</v>
      </c>
      <c r="X109" s="40"/>
      <c r="Y109" s="40"/>
      <c r="Z109" s="40"/>
    </row>
    <row r="110" spans="1:26" ht="18.75">
      <c r="A110" s="17"/>
      <c r="B110" s="20" t="s">
        <v>346</v>
      </c>
      <c r="C110" s="21" t="s">
        <v>25</v>
      </c>
      <c r="D110" s="21" t="s">
        <v>26</v>
      </c>
      <c r="E110" s="22"/>
      <c r="F110" s="24" t="s">
        <v>347</v>
      </c>
      <c r="G110" s="26" t="s">
        <v>28</v>
      </c>
      <c r="H110" s="27">
        <v>28000</v>
      </c>
      <c r="I110" s="28"/>
      <c r="J110" s="29"/>
      <c r="K110" s="30"/>
      <c r="L110" s="31"/>
      <c r="M110" s="22"/>
      <c r="N110" s="32"/>
      <c r="O110" s="32"/>
      <c r="P110" s="32"/>
      <c r="Q110" s="32"/>
      <c r="R110" s="32"/>
      <c r="S110" s="32"/>
      <c r="T110" s="34"/>
      <c r="U110" s="34"/>
      <c r="V110" s="36" t="str">
        <f t="shared" si="0"/>
        <v>100</v>
      </c>
      <c r="W110" s="39">
        <f>COUNTIF('52-60'!$V$2:$V206,V110)-1</f>
        <v>-1</v>
      </c>
      <c r="X110" s="40"/>
      <c r="Y110" s="40"/>
      <c r="Z110" s="40"/>
    </row>
    <row r="111" spans="1:26" ht="18.75">
      <c r="A111" s="17"/>
      <c r="B111" s="20" t="s">
        <v>348</v>
      </c>
      <c r="C111" s="21" t="s">
        <v>25</v>
      </c>
      <c r="D111" s="21" t="s">
        <v>26</v>
      </c>
      <c r="E111" s="22"/>
      <c r="F111" s="24" t="s">
        <v>349</v>
      </c>
      <c r="G111" s="26" t="s">
        <v>28</v>
      </c>
      <c r="H111" s="27">
        <v>16000</v>
      </c>
      <c r="I111" s="28"/>
      <c r="J111" s="29"/>
      <c r="K111" s="30"/>
      <c r="L111" s="31"/>
      <c r="M111" s="22"/>
      <c r="N111" s="32"/>
      <c r="O111" s="32"/>
      <c r="P111" s="32"/>
      <c r="Q111" s="32"/>
      <c r="R111" s="32"/>
      <c r="S111" s="32"/>
      <c r="T111" s="34"/>
      <c r="U111" s="34"/>
      <c r="V111" s="36" t="str">
        <f t="shared" si="0"/>
        <v>100</v>
      </c>
      <c r="W111" s="39">
        <f>COUNTIF('52-60'!$V$2:$V206,V111)-1</f>
        <v>-1</v>
      </c>
      <c r="X111" s="40"/>
      <c r="Y111" s="40"/>
      <c r="Z111" s="40"/>
    </row>
    <row r="112" spans="1:26" ht="18.75">
      <c r="A112" s="17"/>
      <c r="B112" s="20" t="s">
        <v>352</v>
      </c>
      <c r="C112" s="21" t="s">
        <v>25</v>
      </c>
      <c r="D112" s="21" t="s">
        <v>26</v>
      </c>
      <c r="E112" s="22"/>
      <c r="F112" s="24" t="s">
        <v>353</v>
      </c>
      <c r="G112" s="26" t="s">
        <v>28</v>
      </c>
      <c r="H112" s="27">
        <v>18000</v>
      </c>
      <c r="I112" s="28"/>
      <c r="J112" s="29"/>
      <c r="K112" s="30"/>
      <c r="L112" s="31"/>
      <c r="M112" s="22"/>
      <c r="N112" s="32"/>
      <c r="O112" s="32"/>
      <c r="P112" s="32"/>
      <c r="Q112" s="32"/>
      <c r="R112" s="32"/>
      <c r="S112" s="32"/>
      <c r="T112" s="34"/>
      <c r="U112" s="34"/>
      <c r="V112" s="36" t="str">
        <f t="shared" si="0"/>
        <v>100</v>
      </c>
      <c r="W112" s="39">
        <f>COUNTIF('52-60'!$V$2:$V206,V112)-1</f>
        <v>-1</v>
      </c>
      <c r="X112" s="40"/>
      <c r="Y112" s="40"/>
      <c r="Z112" s="40"/>
    </row>
    <row r="113" spans="1:26" ht="18.75">
      <c r="A113" s="17"/>
      <c r="B113" s="20" t="s">
        <v>354</v>
      </c>
      <c r="C113" s="21" t="s">
        <v>25</v>
      </c>
      <c r="D113" s="21" t="s">
        <v>26</v>
      </c>
      <c r="E113" s="22"/>
      <c r="F113" s="24" t="s">
        <v>355</v>
      </c>
      <c r="G113" s="26" t="s">
        <v>53</v>
      </c>
      <c r="H113" s="27">
        <v>65000</v>
      </c>
      <c r="I113" s="28"/>
      <c r="J113" s="29"/>
      <c r="K113" s="30"/>
      <c r="L113" s="31"/>
      <c r="M113" s="22"/>
      <c r="N113" s="32"/>
      <c r="O113" s="32"/>
      <c r="P113" s="32"/>
      <c r="Q113" s="32"/>
      <c r="R113" s="32"/>
      <c r="S113" s="32"/>
      <c r="T113" s="34"/>
      <c r="U113" s="34"/>
      <c r="V113" s="36" t="str">
        <f t="shared" si="0"/>
        <v>100</v>
      </c>
      <c r="W113" s="39">
        <f>COUNTIF('52-60'!$V$2:$V206,V113)-1</f>
        <v>-1</v>
      </c>
      <c r="X113" s="40"/>
      <c r="Y113" s="40"/>
      <c r="Z113" s="40"/>
    </row>
    <row r="114" spans="1:26" ht="18.75">
      <c r="A114" s="17"/>
      <c r="B114" s="20" t="s">
        <v>356</v>
      </c>
      <c r="C114" s="21" t="s">
        <v>25</v>
      </c>
      <c r="D114" s="21" t="s">
        <v>26</v>
      </c>
      <c r="E114" s="22"/>
      <c r="F114" s="24" t="s">
        <v>357</v>
      </c>
      <c r="G114" s="26" t="s">
        <v>358</v>
      </c>
      <c r="H114" s="27">
        <v>35000</v>
      </c>
      <c r="I114" s="28"/>
      <c r="J114" s="29"/>
      <c r="K114" s="30"/>
      <c r="L114" s="31"/>
      <c r="M114" s="22"/>
      <c r="N114" s="32"/>
      <c r="O114" s="32"/>
      <c r="P114" s="32"/>
      <c r="Q114" s="32"/>
      <c r="R114" s="32"/>
      <c r="S114" s="32"/>
      <c r="T114" s="34"/>
      <c r="U114" s="34"/>
      <c r="V114" s="36" t="str">
        <f t="shared" si="0"/>
        <v>100</v>
      </c>
      <c r="W114" s="39">
        <f>COUNTIF('52-60'!$V$2:$V206,V114)-1</f>
        <v>-1</v>
      </c>
      <c r="X114" s="40"/>
      <c r="Y114" s="40"/>
      <c r="Z114" s="40"/>
    </row>
    <row r="115" spans="1:26" ht="18.75">
      <c r="A115" s="17"/>
      <c r="B115" s="20" t="s">
        <v>361</v>
      </c>
      <c r="C115" s="21" t="s">
        <v>25</v>
      </c>
      <c r="D115" s="21" t="s">
        <v>26</v>
      </c>
      <c r="E115" s="22"/>
      <c r="F115" s="24" t="s">
        <v>362</v>
      </c>
      <c r="G115" s="26" t="s">
        <v>358</v>
      </c>
      <c r="H115" s="27">
        <v>49000</v>
      </c>
      <c r="I115" s="28"/>
      <c r="J115" s="29"/>
      <c r="K115" s="30"/>
      <c r="L115" s="31"/>
      <c r="M115" s="22"/>
      <c r="N115" s="32"/>
      <c r="O115" s="32"/>
      <c r="P115" s="32"/>
      <c r="Q115" s="32"/>
      <c r="R115" s="32"/>
      <c r="S115" s="32"/>
      <c r="T115" s="34"/>
      <c r="U115" s="34"/>
      <c r="V115" s="36" t="str">
        <f t="shared" si="0"/>
        <v>100</v>
      </c>
      <c r="W115" s="39">
        <f>COUNTIF('52-60'!$V$2:$V206,V115)-1</f>
        <v>-1</v>
      </c>
      <c r="X115" s="40"/>
      <c r="Y115" s="40"/>
      <c r="Z115" s="40"/>
    </row>
    <row r="116" spans="1:26" ht="18.75">
      <c r="A116" s="17"/>
      <c r="B116" s="20" t="s">
        <v>363</v>
      </c>
      <c r="C116" s="21" t="s">
        <v>25</v>
      </c>
      <c r="D116" s="21" t="s">
        <v>26</v>
      </c>
      <c r="E116" s="22"/>
      <c r="F116" s="24" t="s">
        <v>364</v>
      </c>
      <c r="G116" s="26" t="s">
        <v>358</v>
      </c>
      <c r="H116" s="27">
        <v>66000</v>
      </c>
      <c r="I116" s="28"/>
      <c r="J116" s="29"/>
      <c r="K116" s="30"/>
      <c r="L116" s="31"/>
      <c r="M116" s="22"/>
      <c r="N116" s="32"/>
      <c r="O116" s="32"/>
      <c r="P116" s="32"/>
      <c r="Q116" s="32"/>
      <c r="R116" s="32"/>
      <c r="S116" s="32"/>
      <c r="T116" s="34"/>
      <c r="U116" s="34"/>
      <c r="V116" s="36" t="str">
        <f t="shared" si="0"/>
        <v>100</v>
      </c>
      <c r="W116" s="39">
        <f>COUNTIF('52-60'!$V$2:$V206,V116)-1</f>
        <v>-1</v>
      </c>
      <c r="X116" s="40"/>
      <c r="Y116" s="40"/>
      <c r="Z116" s="40"/>
    </row>
    <row r="117" spans="1:26" ht="18.75">
      <c r="A117" s="17"/>
      <c r="B117" s="20" t="s">
        <v>368</v>
      </c>
      <c r="C117" s="21" t="s">
        <v>25</v>
      </c>
      <c r="D117" s="21" t="s">
        <v>26</v>
      </c>
      <c r="E117" s="22"/>
      <c r="F117" s="24" t="s">
        <v>369</v>
      </c>
      <c r="G117" s="26" t="s">
        <v>358</v>
      </c>
      <c r="H117" s="27">
        <v>19000</v>
      </c>
      <c r="I117" s="28"/>
      <c r="J117" s="29"/>
      <c r="K117" s="30"/>
      <c r="L117" s="31"/>
      <c r="M117" s="22"/>
      <c r="N117" s="32"/>
      <c r="O117" s="32"/>
      <c r="P117" s="32"/>
      <c r="Q117" s="32"/>
      <c r="R117" s="32"/>
      <c r="S117" s="32"/>
      <c r="T117" s="34"/>
      <c r="U117" s="34"/>
      <c r="V117" s="36" t="str">
        <f t="shared" si="0"/>
        <v>100</v>
      </c>
      <c r="W117" s="39">
        <f>COUNTIF('52-60'!$V$2:$V206,V117)-1</f>
        <v>-1</v>
      </c>
      <c r="X117" s="40"/>
      <c r="Y117" s="40"/>
      <c r="Z117" s="40"/>
    </row>
    <row r="118" spans="1:26" ht="18.75">
      <c r="A118" s="17"/>
      <c r="B118" s="20" t="s">
        <v>370</v>
      </c>
      <c r="C118" s="21" t="s">
        <v>25</v>
      </c>
      <c r="D118" s="21" t="s">
        <v>26</v>
      </c>
      <c r="E118" s="22"/>
      <c r="F118" s="24" t="s">
        <v>371</v>
      </c>
      <c r="G118" s="26" t="s">
        <v>358</v>
      </c>
      <c r="H118" s="27">
        <v>25000</v>
      </c>
      <c r="I118" s="28"/>
      <c r="J118" s="29"/>
      <c r="K118" s="30"/>
      <c r="L118" s="31"/>
      <c r="M118" s="22"/>
      <c r="N118" s="32"/>
      <c r="O118" s="32"/>
      <c r="P118" s="32"/>
      <c r="Q118" s="32"/>
      <c r="R118" s="32"/>
      <c r="S118" s="32"/>
      <c r="T118" s="34"/>
      <c r="U118" s="34"/>
      <c r="V118" s="36" t="str">
        <f t="shared" si="0"/>
        <v>100</v>
      </c>
      <c r="W118" s="39">
        <f>COUNTIF('52-60'!$V$2:$V206,V118)-1</f>
        <v>-1</v>
      </c>
      <c r="X118" s="40"/>
      <c r="Y118" s="40"/>
      <c r="Z118" s="40"/>
    </row>
    <row r="119" spans="1:26" ht="18.75">
      <c r="A119" s="17"/>
      <c r="B119" s="20" t="s">
        <v>373</v>
      </c>
      <c r="C119" s="21" t="s">
        <v>25</v>
      </c>
      <c r="D119" s="21" t="s">
        <v>26</v>
      </c>
      <c r="E119" s="22"/>
      <c r="F119" s="24" t="s">
        <v>374</v>
      </c>
      <c r="G119" s="26" t="s">
        <v>358</v>
      </c>
      <c r="H119" s="27">
        <v>6500</v>
      </c>
      <c r="I119" s="28"/>
      <c r="J119" s="29"/>
      <c r="K119" s="30"/>
      <c r="L119" s="31"/>
      <c r="M119" s="22"/>
      <c r="N119" s="32"/>
      <c r="O119" s="32"/>
      <c r="P119" s="32"/>
      <c r="Q119" s="32"/>
      <c r="R119" s="32"/>
      <c r="S119" s="32"/>
      <c r="T119" s="34"/>
      <c r="U119" s="34"/>
      <c r="V119" s="36" t="str">
        <f t="shared" si="0"/>
        <v>100</v>
      </c>
      <c r="W119" s="39">
        <f>COUNTIF('52-60'!$V$2:$V206,V119)-1</f>
        <v>-1</v>
      </c>
      <c r="X119" s="40"/>
      <c r="Y119" s="40"/>
      <c r="Z119" s="40"/>
    </row>
    <row r="120" spans="1:26" ht="18.75">
      <c r="A120" s="17"/>
      <c r="B120" s="20" t="s">
        <v>377</v>
      </c>
      <c r="C120" s="21" t="s">
        <v>25</v>
      </c>
      <c r="D120" s="21" t="s">
        <v>26</v>
      </c>
      <c r="E120" s="22"/>
      <c r="F120" s="24" t="s">
        <v>378</v>
      </c>
      <c r="G120" s="26" t="s">
        <v>358</v>
      </c>
      <c r="H120" s="27">
        <v>9400</v>
      </c>
      <c r="I120" s="28"/>
      <c r="J120" s="29"/>
      <c r="K120" s="30"/>
      <c r="L120" s="31"/>
      <c r="M120" s="22"/>
      <c r="N120" s="32"/>
      <c r="O120" s="32"/>
      <c r="P120" s="32"/>
      <c r="Q120" s="32"/>
      <c r="R120" s="32"/>
      <c r="S120" s="32"/>
      <c r="T120" s="34"/>
      <c r="U120" s="34"/>
      <c r="V120" s="36" t="str">
        <f t="shared" si="0"/>
        <v>100</v>
      </c>
      <c r="W120" s="39">
        <f>COUNTIF('52-60'!$V$2:$V206,V120)-1</f>
        <v>-1</v>
      </c>
      <c r="X120" s="40"/>
      <c r="Y120" s="40"/>
      <c r="Z120" s="40"/>
    </row>
    <row r="121" spans="1:26" ht="18.75">
      <c r="A121" s="17"/>
      <c r="B121" s="20" t="s">
        <v>380</v>
      </c>
      <c r="C121" s="21" t="s">
        <v>25</v>
      </c>
      <c r="D121" s="21" t="s">
        <v>26</v>
      </c>
      <c r="E121" s="22"/>
      <c r="F121" s="24" t="s">
        <v>381</v>
      </c>
      <c r="G121" s="26" t="s">
        <v>358</v>
      </c>
      <c r="H121" s="27">
        <v>15000</v>
      </c>
      <c r="I121" s="28"/>
      <c r="J121" s="29"/>
      <c r="K121" s="30"/>
      <c r="L121" s="31"/>
      <c r="M121" s="22"/>
      <c r="N121" s="32"/>
      <c r="O121" s="32"/>
      <c r="P121" s="32"/>
      <c r="Q121" s="32"/>
      <c r="R121" s="32"/>
      <c r="S121" s="32"/>
      <c r="T121" s="34"/>
      <c r="U121" s="34"/>
      <c r="V121" s="36" t="str">
        <f t="shared" si="0"/>
        <v>100</v>
      </c>
      <c r="W121" s="39">
        <f>COUNTIF('52-60'!$V$2:$V206,V121)-1</f>
        <v>-1</v>
      </c>
      <c r="X121" s="40"/>
      <c r="Y121" s="40"/>
      <c r="Z121" s="40"/>
    </row>
    <row r="122" spans="1:26" ht="18.75">
      <c r="A122" s="17"/>
      <c r="B122" s="20" t="s">
        <v>385</v>
      </c>
      <c r="C122" s="21" t="s">
        <v>25</v>
      </c>
      <c r="D122" s="21" t="s">
        <v>26</v>
      </c>
      <c r="E122" s="22"/>
      <c r="F122" s="24" t="s">
        <v>386</v>
      </c>
      <c r="G122" s="26" t="s">
        <v>358</v>
      </c>
      <c r="H122" s="27">
        <v>8000</v>
      </c>
      <c r="I122" s="28"/>
      <c r="J122" s="54" t="str">
        <f>HYPERLINK("https://drive.google.com/open?id=1uRKauPNhvZ-Kx2o2zLSRMFbmPZrJaKkb","จากบัญชีของ สน.งปฯ ธ.ค.61")</f>
        <v>จากบัญชีของ สน.งปฯ ธ.ค.61</v>
      </c>
      <c r="K122" s="30"/>
      <c r="L122" s="31"/>
      <c r="M122" s="22"/>
      <c r="N122" s="32"/>
      <c r="O122" s="32"/>
      <c r="P122" s="32"/>
      <c r="Q122" s="32"/>
      <c r="R122" s="32"/>
      <c r="S122" s="32"/>
      <c r="T122" s="34"/>
      <c r="U122" s="34"/>
      <c r="V122" s="36" t="str">
        <f t="shared" si="0"/>
        <v>100</v>
      </c>
      <c r="W122" s="39">
        <f>COUNTIF('52-60'!$V$2:$V206,V122)-1</f>
        <v>-1</v>
      </c>
      <c r="X122" s="40"/>
      <c r="Y122" s="40"/>
      <c r="Z122" s="40"/>
    </row>
    <row r="123" spans="1:26" ht="18.75">
      <c r="A123" s="17"/>
      <c r="B123" s="20" t="s">
        <v>389</v>
      </c>
      <c r="C123" s="21" t="s">
        <v>25</v>
      </c>
      <c r="D123" s="21" t="s">
        <v>26</v>
      </c>
      <c r="E123" s="22"/>
      <c r="F123" s="24" t="s">
        <v>391</v>
      </c>
      <c r="G123" s="26" t="s">
        <v>358</v>
      </c>
      <c r="H123" s="27">
        <v>5500</v>
      </c>
      <c r="I123" s="28"/>
      <c r="J123" s="54" t="str">
        <f>HYPERLINK("https://drive.google.com/open?id=1uRKauPNhvZ-Kx2o2zLSRMFbmPZrJaKkb","จากบัญชีของ สน.งปฯ ธ.ค.61")</f>
        <v>จากบัญชีของ สน.งปฯ ธ.ค.61</v>
      </c>
      <c r="K123" s="30"/>
      <c r="L123" s="31"/>
      <c r="M123" s="22"/>
      <c r="N123" s="32"/>
      <c r="O123" s="32"/>
      <c r="P123" s="32"/>
      <c r="Q123" s="32"/>
      <c r="R123" s="32"/>
      <c r="S123" s="32"/>
      <c r="T123" s="34"/>
      <c r="U123" s="34"/>
      <c r="V123" s="36" t="str">
        <f t="shared" si="0"/>
        <v>100</v>
      </c>
      <c r="W123" s="39">
        <f>COUNTIF('52-60'!$V$2:$V206,V123)-1</f>
        <v>-1</v>
      </c>
      <c r="X123" s="40"/>
      <c r="Y123" s="40"/>
      <c r="Z123" s="40"/>
    </row>
    <row r="124" spans="1:26" ht="18.75">
      <c r="A124" s="17"/>
      <c r="B124" s="20" t="s">
        <v>396</v>
      </c>
      <c r="C124" s="21" t="s">
        <v>25</v>
      </c>
      <c r="D124" s="21" t="s">
        <v>26</v>
      </c>
      <c r="E124" s="22"/>
      <c r="F124" s="24" t="s">
        <v>397</v>
      </c>
      <c r="G124" s="26" t="s">
        <v>358</v>
      </c>
      <c r="H124" s="27">
        <v>7900</v>
      </c>
      <c r="I124" s="28"/>
      <c r="J124" s="54" t="str">
        <f>HYPERLINK("https://drive.google.com/open?id=1uRKauPNhvZ-Kx2o2zLSRMFbmPZrJaKkb","จากบัญชีของ สน.งปฯ ธ.ค.61")</f>
        <v>จากบัญชีของ สน.งปฯ ธ.ค.61</v>
      </c>
      <c r="K124" s="30"/>
      <c r="L124" s="31"/>
      <c r="M124" s="22"/>
      <c r="N124" s="32"/>
      <c r="O124" s="32"/>
      <c r="P124" s="32"/>
      <c r="Q124" s="32"/>
      <c r="R124" s="32"/>
      <c r="S124" s="32"/>
      <c r="T124" s="34"/>
      <c r="U124" s="34"/>
      <c r="V124" s="36" t="str">
        <f t="shared" si="0"/>
        <v>100</v>
      </c>
      <c r="W124" s="39">
        <f>COUNTIF('52-60'!$V$2:$V206,V124)-1</f>
        <v>-1</v>
      </c>
      <c r="X124" s="40"/>
      <c r="Y124" s="40"/>
      <c r="Z124" s="40"/>
    </row>
    <row r="125" spans="1:26" ht="18.75">
      <c r="A125" s="17"/>
      <c r="B125" s="20" t="s">
        <v>399</v>
      </c>
      <c r="C125" s="21" t="s">
        <v>25</v>
      </c>
      <c r="D125" s="21" t="s">
        <v>26</v>
      </c>
      <c r="E125" s="22"/>
      <c r="F125" s="24" t="s">
        <v>400</v>
      </c>
      <c r="G125" s="26" t="s">
        <v>358</v>
      </c>
      <c r="H125" s="27">
        <v>550000</v>
      </c>
      <c r="I125" s="28"/>
      <c r="J125" s="29"/>
      <c r="K125" s="30"/>
      <c r="L125" s="31"/>
      <c r="M125" s="22"/>
      <c r="N125" s="32"/>
      <c r="O125" s="32"/>
      <c r="P125" s="32"/>
      <c r="Q125" s="32"/>
      <c r="R125" s="32"/>
      <c r="S125" s="32"/>
      <c r="T125" s="34"/>
      <c r="U125" s="34"/>
      <c r="V125" s="36" t="str">
        <f t="shared" si="0"/>
        <v>100</v>
      </c>
      <c r="W125" s="39">
        <f>COUNTIF('52-60'!$V$2:$V206,V125)-1</f>
        <v>-1</v>
      </c>
      <c r="X125" s="40"/>
      <c r="Y125" s="40"/>
      <c r="Z125" s="40"/>
    </row>
    <row r="126" spans="1:26" ht="18.75">
      <c r="A126" s="17"/>
      <c r="B126" s="20" t="s">
        <v>402</v>
      </c>
      <c r="C126" s="21" t="s">
        <v>25</v>
      </c>
      <c r="D126" s="21" t="s">
        <v>26</v>
      </c>
      <c r="E126" s="22"/>
      <c r="F126" s="24" t="s">
        <v>404</v>
      </c>
      <c r="G126" s="26" t="s">
        <v>405</v>
      </c>
      <c r="H126" s="27">
        <v>10000</v>
      </c>
      <c r="I126" s="28"/>
      <c r="J126" s="29"/>
      <c r="K126" s="30"/>
      <c r="L126" s="31"/>
      <c r="M126" s="22"/>
      <c r="N126" s="32"/>
      <c r="O126" s="32"/>
      <c r="P126" s="32"/>
      <c r="Q126" s="32"/>
      <c r="R126" s="32"/>
      <c r="S126" s="32"/>
      <c r="T126" s="34"/>
      <c r="U126" s="34"/>
      <c r="V126" s="36" t="str">
        <f t="shared" si="0"/>
        <v>100</v>
      </c>
      <c r="W126" s="39">
        <f>COUNTIF('52-60'!$V$2:$V206,V126)-1</f>
        <v>-1</v>
      </c>
      <c r="X126" s="40"/>
      <c r="Y126" s="40"/>
      <c r="Z126" s="40"/>
    </row>
    <row r="127" spans="1:26" ht="18.75">
      <c r="A127" s="17"/>
      <c r="B127" s="20" t="s">
        <v>407</v>
      </c>
      <c r="C127" s="21" t="s">
        <v>25</v>
      </c>
      <c r="D127" s="21" t="s">
        <v>26</v>
      </c>
      <c r="E127" s="22"/>
      <c r="F127" s="24" t="s">
        <v>408</v>
      </c>
      <c r="G127" s="26" t="s">
        <v>405</v>
      </c>
      <c r="H127" s="27">
        <v>13000</v>
      </c>
      <c r="I127" s="28"/>
      <c r="J127" s="29"/>
      <c r="K127" s="30"/>
      <c r="L127" s="31"/>
      <c r="M127" s="22"/>
      <c r="N127" s="32"/>
      <c r="O127" s="32"/>
      <c r="P127" s="32"/>
      <c r="Q127" s="32"/>
      <c r="R127" s="32"/>
      <c r="S127" s="32"/>
      <c r="T127" s="34"/>
      <c r="U127" s="34"/>
      <c r="V127" s="36" t="str">
        <f t="shared" si="0"/>
        <v>100</v>
      </c>
      <c r="W127" s="39">
        <f>COUNTIF('52-60'!$V$2:$V206,V127)-1</f>
        <v>-1</v>
      </c>
      <c r="X127" s="40"/>
      <c r="Y127" s="40"/>
      <c r="Z127" s="40"/>
    </row>
    <row r="128" spans="1:26" ht="18.75">
      <c r="A128" s="17"/>
      <c r="B128" s="20" t="s">
        <v>409</v>
      </c>
      <c r="C128" s="21" t="s">
        <v>25</v>
      </c>
      <c r="D128" s="21" t="s">
        <v>26</v>
      </c>
      <c r="E128" s="22"/>
      <c r="F128" s="24" t="s">
        <v>410</v>
      </c>
      <c r="G128" s="26" t="s">
        <v>411</v>
      </c>
      <c r="H128" s="27">
        <v>22600</v>
      </c>
      <c r="I128" s="28"/>
      <c r="J128" s="29"/>
      <c r="K128" s="30"/>
      <c r="L128" s="31"/>
      <c r="M128" s="22"/>
      <c r="N128" s="32"/>
      <c r="O128" s="32"/>
      <c r="P128" s="32"/>
      <c r="Q128" s="32"/>
      <c r="R128" s="32"/>
      <c r="S128" s="32"/>
      <c r="T128" s="34"/>
      <c r="U128" s="34"/>
      <c r="V128" s="36" t="str">
        <f t="shared" si="0"/>
        <v>100</v>
      </c>
      <c r="W128" s="39">
        <f>COUNTIF('52-60'!$V$2:$V206,V128)-1</f>
        <v>-1</v>
      </c>
      <c r="X128" s="40"/>
      <c r="Y128" s="40"/>
      <c r="Z128" s="40"/>
    </row>
    <row r="129" spans="1:26" ht="18.75">
      <c r="A129" s="17"/>
      <c r="B129" s="20" t="s">
        <v>415</v>
      </c>
      <c r="C129" s="21" t="s">
        <v>25</v>
      </c>
      <c r="D129" s="21" t="s">
        <v>26</v>
      </c>
      <c r="E129" s="22"/>
      <c r="F129" s="24" t="s">
        <v>416</v>
      </c>
      <c r="G129" s="26" t="s">
        <v>411</v>
      </c>
      <c r="H129" s="27">
        <v>45000</v>
      </c>
      <c r="I129" s="28"/>
      <c r="J129" s="29"/>
      <c r="K129" s="30"/>
      <c r="L129" s="31"/>
      <c r="M129" s="22"/>
      <c r="N129" s="32"/>
      <c r="O129" s="32"/>
      <c r="P129" s="32"/>
      <c r="Q129" s="32"/>
      <c r="R129" s="32"/>
      <c r="S129" s="32"/>
      <c r="T129" s="34"/>
      <c r="U129" s="34"/>
      <c r="V129" s="36" t="str">
        <f t="shared" si="0"/>
        <v>100</v>
      </c>
      <c r="W129" s="39">
        <f>COUNTIF('52-60'!$V$2:$V206,V129)-1</f>
        <v>-1</v>
      </c>
      <c r="X129" s="40"/>
      <c r="Y129" s="40"/>
      <c r="Z129" s="40"/>
    </row>
    <row r="130" spans="1:26" ht="18.75">
      <c r="A130" s="17"/>
      <c r="B130" s="20" t="s">
        <v>419</v>
      </c>
      <c r="C130" s="21" t="s">
        <v>25</v>
      </c>
      <c r="D130" s="21" t="s">
        <v>26</v>
      </c>
      <c r="E130" s="22"/>
      <c r="F130" s="24" t="s">
        <v>420</v>
      </c>
      <c r="G130" s="26" t="s">
        <v>411</v>
      </c>
      <c r="H130" s="27">
        <v>50000</v>
      </c>
      <c r="I130" s="28"/>
      <c r="J130" s="29"/>
      <c r="K130" s="30"/>
      <c r="L130" s="31"/>
      <c r="M130" s="22"/>
      <c r="N130" s="32"/>
      <c r="O130" s="32"/>
      <c r="P130" s="32"/>
      <c r="Q130" s="32"/>
      <c r="R130" s="32"/>
      <c r="S130" s="32"/>
      <c r="T130" s="34"/>
      <c r="U130" s="34"/>
      <c r="V130" s="36" t="str">
        <f t="shared" si="0"/>
        <v>100</v>
      </c>
      <c r="W130" s="39">
        <f>COUNTIF('52-60'!$V$2:$V206,V130)-1</f>
        <v>-1</v>
      </c>
      <c r="X130" s="40"/>
      <c r="Y130" s="40"/>
      <c r="Z130" s="40"/>
    </row>
    <row r="131" spans="1:26" ht="18.75">
      <c r="A131" s="17"/>
      <c r="B131" s="20" t="s">
        <v>423</v>
      </c>
      <c r="C131" s="21" t="s">
        <v>25</v>
      </c>
      <c r="D131" s="21" t="s">
        <v>26</v>
      </c>
      <c r="E131" s="22"/>
      <c r="F131" s="24" t="s">
        <v>424</v>
      </c>
      <c r="G131" s="26" t="s">
        <v>411</v>
      </c>
      <c r="H131" s="27">
        <v>15500</v>
      </c>
      <c r="I131" s="28"/>
      <c r="J131" s="29"/>
      <c r="K131" s="30"/>
      <c r="L131" s="31"/>
      <c r="M131" s="22"/>
      <c r="N131" s="32"/>
      <c r="O131" s="32"/>
      <c r="P131" s="32"/>
      <c r="Q131" s="32"/>
      <c r="R131" s="32"/>
      <c r="S131" s="32"/>
      <c r="T131" s="34"/>
      <c r="U131" s="34"/>
      <c r="V131" s="36" t="str">
        <f t="shared" si="0"/>
        <v>100</v>
      </c>
      <c r="W131" s="39">
        <f>COUNTIF('52-60'!$V$2:$V206,V131)-1</f>
        <v>-1</v>
      </c>
      <c r="X131" s="40"/>
      <c r="Y131" s="40"/>
      <c r="Z131" s="40"/>
    </row>
    <row r="132" spans="1:26" ht="18.75">
      <c r="A132" s="17"/>
      <c r="B132" s="20" t="s">
        <v>425</v>
      </c>
      <c r="C132" s="21" t="s">
        <v>25</v>
      </c>
      <c r="D132" s="21" t="s">
        <v>26</v>
      </c>
      <c r="E132" s="22"/>
      <c r="F132" s="24" t="s">
        <v>426</v>
      </c>
      <c r="G132" s="26" t="s">
        <v>411</v>
      </c>
      <c r="H132" s="27">
        <v>15800</v>
      </c>
      <c r="I132" s="28"/>
      <c r="J132" s="29"/>
      <c r="K132" s="30"/>
      <c r="L132" s="31"/>
      <c r="M132" s="22"/>
      <c r="N132" s="32"/>
      <c r="O132" s="32"/>
      <c r="P132" s="32"/>
      <c r="Q132" s="32"/>
      <c r="R132" s="32"/>
      <c r="S132" s="32"/>
      <c r="T132" s="34"/>
      <c r="U132" s="34"/>
      <c r="V132" s="36" t="str">
        <f t="shared" si="0"/>
        <v>100</v>
      </c>
      <c r="W132" s="39">
        <f>COUNTIF('52-60'!$V$2:$V206,V132)-1</f>
        <v>-1</v>
      </c>
      <c r="X132" s="40"/>
      <c r="Y132" s="40"/>
      <c r="Z132" s="40"/>
    </row>
    <row r="133" spans="1:26" ht="18.75">
      <c r="A133" s="17"/>
      <c r="B133" s="20" t="s">
        <v>427</v>
      </c>
      <c r="C133" s="21" t="s">
        <v>25</v>
      </c>
      <c r="D133" s="21" t="s">
        <v>26</v>
      </c>
      <c r="E133" s="22"/>
      <c r="F133" s="24" t="s">
        <v>428</v>
      </c>
      <c r="G133" s="26" t="s">
        <v>53</v>
      </c>
      <c r="H133" s="27">
        <v>8500</v>
      </c>
      <c r="I133" s="28"/>
      <c r="J133" s="54" t="str">
        <f t="shared" ref="J133:J142" si="4">HYPERLINK("https://drive.google.com/open?id=1uRKauPNhvZ-Kx2o2zLSRMFbmPZrJaKkb","จากบัญชีของ สน.งปฯ ธ.ค.61")</f>
        <v>จากบัญชีของ สน.งปฯ ธ.ค.61</v>
      </c>
      <c r="K133" s="30"/>
      <c r="L133" s="31"/>
      <c r="M133" s="22"/>
      <c r="N133" s="32"/>
      <c r="O133" s="32"/>
      <c r="P133" s="32"/>
      <c r="Q133" s="32"/>
      <c r="R133" s="32"/>
      <c r="S133" s="32"/>
      <c r="T133" s="34"/>
      <c r="U133" s="34"/>
      <c r="V133" s="36" t="str">
        <f t="shared" si="0"/>
        <v>100</v>
      </c>
      <c r="W133" s="39">
        <f>COUNTIF('52-60'!$V$2:$V206,V133)-1</f>
        <v>-1</v>
      </c>
      <c r="X133" s="40"/>
      <c r="Y133" s="40"/>
      <c r="Z133" s="40"/>
    </row>
    <row r="134" spans="1:26" ht="18.75">
      <c r="A134" s="17"/>
      <c r="B134" s="20" t="s">
        <v>431</v>
      </c>
      <c r="C134" s="21" t="s">
        <v>25</v>
      </c>
      <c r="D134" s="21" t="s">
        <v>26</v>
      </c>
      <c r="E134" s="22"/>
      <c r="F134" s="24" t="s">
        <v>432</v>
      </c>
      <c r="G134" s="26" t="s">
        <v>433</v>
      </c>
      <c r="H134" s="27">
        <v>6400</v>
      </c>
      <c r="I134" s="28"/>
      <c r="J134" s="54" t="str">
        <f t="shared" si="4"/>
        <v>จากบัญชีของ สน.งปฯ ธ.ค.61</v>
      </c>
      <c r="K134" s="30"/>
      <c r="L134" s="31"/>
      <c r="M134" s="22"/>
      <c r="N134" s="32"/>
      <c r="O134" s="32"/>
      <c r="P134" s="32"/>
      <c r="Q134" s="32"/>
      <c r="R134" s="32"/>
      <c r="S134" s="32"/>
      <c r="T134" s="34"/>
      <c r="U134" s="34"/>
      <c r="V134" s="36" t="str">
        <f t="shared" si="0"/>
        <v>100</v>
      </c>
      <c r="W134" s="39">
        <f>COUNTIF('52-60'!$V$2:$V206,V134)-1</f>
        <v>-1</v>
      </c>
      <c r="X134" s="40"/>
      <c r="Y134" s="40"/>
      <c r="Z134" s="40"/>
    </row>
    <row r="135" spans="1:26" ht="18.75">
      <c r="A135" s="17"/>
      <c r="B135" s="20" t="s">
        <v>436</v>
      </c>
      <c r="C135" s="21" t="s">
        <v>25</v>
      </c>
      <c r="D135" s="21" t="s">
        <v>26</v>
      </c>
      <c r="E135" s="22"/>
      <c r="F135" s="24" t="s">
        <v>437</v>
      </c>
      <c r="G135" s="26" t="s">
        <v>433</v>
      </c>
      <c r="H135" s="27">
        <v>5200</v>
      </c>
      <c r="I135" s="28"/>
      <c r="J135" s="54" t="str">
        <f t="shared" si="4"/>
        <v>จากบัญชีของ สน.งปฯ ธ.ค.61</v>
      </c>
      <c r="K135" s="30"/>
      <c r="L135" s="31"/>
      <c r="M135" s="22"/>
      <c r="N135" s="32"/>
      <c r="O135" s="32"/>
      <c r="P135" s="32"/>
      <c r="Q135" s="32"/>
      <c r="R135" s="32"/>
      <c r="S135" s="32"/>
      <c r="T135" s="34"/>
      <c r="U135" s="34"/>
      <c r="V135" s="36" t="str">
        <f t="shared" si="0"/>
        <v>100</v>
      </c>
      <c r="W135" s="39">
        <f>COUNTIF('52-60'!$V$2:$V206,V135)-1</f>
        <v>-1</v>
      </c>
      <c r="X135" s="40"/>
      <c r="Y135" s="40"/>
      <c r="Z135" s="40"/>
    </row>
    <row r="136" spans="1:26" ht="18.75">
      <c r="A136" s="17"/>
      <c r="B136" s="20" t="s">
        <v>438</v>
      </c>
      <c r="C136" s="21" t="s">
        <v>25</v>
      </c>
      <c r="D136" s="21" t="s">
        <v>26</v>
      </c>
      <c r="E136" s="22"/>
      <c r="F136" s="24" t="s">
        <v>439</v>
      </c>
      <c r="G136" s="26" t="s">
        <v>433</v>
      </c>
      <c r="H136" s="27">
        <v>6400</v>
      </c>
      <c r="I136" s="28"/>
      <c r="J136" s="54" t="str">
        <f t="shared" si="4"/>
        <v>จากบัญชีของ สน.งปฯ ธ.ค.61</v>
      </c>
      <c r="K136" s="30"/>
      <c r="L136" s="31"/>
      <c r="M136" s="22"/>
      <c r="N136" s="32"/>
      <c r="O136" s="32"/>
      <c r="P136" s="32"/>
      <c r="Q136" s="32"/>
      <c r="R136" s="32"/>
      <c r="S136" s="32"/>
      <c r="T136" s="34"/>
      <c r="U136" s="34"/>
      <c r="V136" s="36" t="str">
        <f t="shared" si="0"/>
        <v>100</v>
      </c>
      <c r="W136" s="39">
        <f>COUNTIF('52-60'!$V$2:$V206,V136)-1</f>
        <v>-1</v>
      </c>
      <c r="X136" s="40"/>
      <c r="Y136" s="40"/>
      <c r="Z136" s="40"/>
    </row>
    <row r="137" spans="1:26" ht="18.75">
      <c r="A137" s="17"/>
      <c r="B137" s="20" t="s">
        <v>440</v>
      </c>
      <c r="C137" s="21" t="s">
        <v>25</v>
      </c>
      <c r="D137" s="21" t="s">
        <v>26</v>
      </c>
      <c r="E137" s="22"/>
      <c r="F137" s="24" t="s">
        <v>441</v>
      </c>
      <c r="G137" s="26" t="s">
        <v>433</v>
      </c>
      <c r="H137" s="27">
        <v>8300</v>
      </c>
      <c r="I137" s="28"/>
      <c r="J137" s="54" t="str">
        <f t="shared" si="4"/>
        <v>จากบัญชีของ สน.งปฯ ธ.ค.61</v>
      </c>
      <c r="K137" s="30"/>
      <c r="L137" s="31"/>
      <c r="M137" s="22"/>
      <c r="N137" s="32"/>
      <c r="O137" s="32"/>
      <c r="P137" s="32"/>
      <c r="Q137" s="32"/>
      <c r="R137" s="32"/>
      <c r="S137" s="32"/>
      <c r="T137" s="34"/>
      <c r="U137" s="34"/>
      <c r="V137" s="36" t="str">
        <f t="shared" si="0"/>
        <v>100</v>
      </c>
      <c r="W137" s="39">
        <f>COUNTIF('52-60'!$V$2:$V206,V137)-1</f>
        <v>-1</v>
      </c>
      <c r="X137" s="40"/>
      <c r="Y137" s="40"/>
      <c r="Z137" s="40"/>
    </row>
    <row r="138" spans="1:26" ht="18.75">
      <c r="A138" s="17"/>
      <c r="B138" s="20" t="s">
        <v>442</v>
      </c>
      <c r="C138" s="21" t="s">
        <v>25</v>
      </c>
      <c r="D138" s="21" t="s">
        <v>26</v>
      </c>
      <c r="E138" s="22"/>
      <c r="F138" s="24" t="s">
        <v>443</v>
      </c>
      <c r="G138" s="26" t="s">
        <v>433</v>
      </c>
      <c r="H138" s="27">
        <v>9300</v>
      </c>
      <c r="I138" s="28"/>
      <c r="J138" s="54" t="str">
        <f t="shared" si="4"/>
        <v>จากบัญชีของ สน.งปฯ ธ.ค.61</v>
      </c>
      <c r="K138" s="30"/>
      <c r="L138" s="31"/>
      <c r="M138" s="22"/>
      <c r="N138" s="32"/>
      <c r="O138" s="32"/>
      <c r="P138" s="32"/>
      <c r="Q138" s="32"/>
      <c r="R138" s="32"/>
      <c r="S138" s="32"/>
      <c r="T138" s="34"/>
      <c r="U138" s="34"/>
      <c r="V138" s="36" t="str">
        <f t="shared" si="0"/>
        <v>100</v>
      </c>
      <c r="W138" s="39">
        <f>COUNTIF('52-60'!$V$2:$V206,V138)-1</f>
        <v>-1</v>
      </c>
      <c r="X138" s="40"/>
      <c r="Y138" s="40"/>
      <c r="Z138" s="40"/>
    </row>
    <row r="139" spans="1:26" ht="18.75">
      <c r="A139" s="17"/>
      <c r="B139" s="20" t="s">
        <v>444</v>
      </c>
      <c r="C139" s="21" t="s">
        <v>25</v>
      </c>
      <c r="D139" s="21" t="s">
        <v>26</v>
      </c>
      <c r="E139" s="22"/>
      <c r="F139" s="24" t="s">
        <v>445</v>
      </c>
      <c r="G139" s="26" t="s">
        <v>433</v>
      </c>
      <c r="H139" s="27">
        <v>8700</v>
      </c>
      <c r="I139" s="28"/>
      <c r="J139" s="54" t="str">
        <f t="shared" si="4"/>
        <v>จากบัญชีของ สน.งปฯ ธ.ค.61</v>
      </c>
      <c r="K139" s="30"/>
      <c r="L139" s="31"/>
      <c r="M139" s="22"/>
      <c r="N139" s="32"/>
      <c r="O139" s="32"/>
      <c r="P139" s="32"/>
      <c r="Q139" s="32"/>
      <c r="R139" s="32"/>
      <c r="S139" s="32"/>
      <c r="T139" s="34"/>
      <c r="U139" s="34"/>
      <c r="V139" s="36" t="str">
        <f t="shared" si="0"/>
        <v>100</v>
      </c>
      <c r="W139" s="39">
        <f>COUNTIF('52-60'!$V$2:$V206,V139)-1</f>
        <v>-1</v>
      </c>
      <c r="X139" s="40"/>
      <c r="Y139" s="40"/>
      <c r="Z139" s="40"/>
    </row>
    <row r="140" spans="1:26" ht="18.75">
      <c r="A140" s="17"/>
      <c r="B140" s="20" t="s">
        <v>446</v>
      </c>
      <c r="C140" s="21" t="s">
        <v>25</v>
      </c>
      <c r="D140" s="21" t="s">
        <v>26</v>
      </c>
      <c r="E140" s="22"/>
      <c r="F140" s="24" t="s">
        <v>447</v>
      </c>
      <c r="G140" s="26" t="s">
        <v>433</v>
      </c>
      <c r="H140" s="27">
        <v>11300</v>
      </c>
      <c r="I140" s="28"/>
      <c r="J140" s="54" t="str">
        <f t="shared" si="4"/>
        <v>จากบัญชีของ สน.งปฯ ธ.ค.61</v>
      </c>
      <c r="K140" s="30"/>
      <c r="L140" s="31"/>
      <c r="M140" s="22"/>
      <c r="N140" s="32"/>
      <c r="O140" s="32"/>
      <c r="P140" s="32"/>
      <c r="Q140" s="32"/>
      <c r="R140" s="32"/>
      <c r="S140" s="32"/>
      <c r="T140" s="34"/>
      <c r="U140" s="34"/>
      <c r="V140" s="36" t="str">
        <f t="shared" si="0"/>
        <v>100</v>
      </c>
      <c r="W140" s="39">
        <f>COUNTIF('52-60'!$V$2:$V206,V140)-1</f>
        <v>-1</v>
      </c>
      <c r="X140" s="40"/>
      <c r="Y140" s="40"/>
      <c r="Z140" s="40"/>
    </row>
    <row r="141" spans="1:26" ht="18.75">
      <c r="A141" s="17"/>
      <c r="B141" s="20" t="s">
        <v>448</v>
      </c>
      <c r="C141" s="21" t="s">
        <v>25</v>
      </c>
      <c r="D141" s="21" t="s">
        <v>26</v>
      </c>
      <c r="E141" s="22"/>
      <c r="F141" s="24" t="s">
        <v>449</v>
      </c>
      <c r="G141" s="26" t="s">
        <v>433</v>
      </c>
      <c r="H141" s="27">
        <v>15000</v>
      </c>
      <c r="I141" s="28"/>
      <c r="J141" s="54" t="str">
        <f t="shared" si="4"/>
        <v>จากบัญชีของ สน.งปฯ ธ.ค.61</v>
      </c>
      <c r="K141" s="30"/>
      <c r="L141" s="31"/>
      <c r="M141" s="22"/>
      <c r="N141" s="32"/>
      <c r="O141" s="32"/>
      <c r="P141" s="32"/>
      <c r="Q141" s="32"/>
      <c r="R141" s="32"/>
      <c r="S141" s="32"/>
      <c r="T141" s="34"/>
      <c r="U141" s="34"/>
      <c r="V141" s="36" t="str">
        <f t="shared" si="0"/>
        <v>100</v>
      </c>
      <c r="W141" s="39">
        <f>COUNTIF('52-60'!$V$2:$V206,V141)-1</f>
        <v>-1</v>
      </c>
      <c r="X141" s="40"/>
      <c r="Y141" s="40"/>
      <c r="Z141" s="40"/>
    </row>
    <row r="142" spans="1:26" ht="18.75">
      <c r="A142" s="17"/>
      <c r="B142" s="20" t="s">
        <v>452</v>
      </c>
      <c r="C142" s="21" t="s">
        <v>25</v>
      </c>
      <c r="D142" s="21" t="s">
        <v>26</v>
      </c>
      <c r="E142" s="22"/>
      <c r="F142" s="24" t="s">
        <v>453</v>
      </c>
      <c r="G142" s="26" t="s">
        <v>433</v>
      </c>
      <c r="H142" s="27">
        <v>18100</v>
      </c>
      <c r="I142" s="28"/>
      <c r="J142" s="54" t="str">
        <f t="shared" si="4"/>
        <v>จากบัญชีของ สน.งปฯ ธ.ค.61</v>
      </c>
      <c r="K142" s="30"/>
      <c r="L142" s="31"/>
      <c r="M142" s="22"/>
      <c r="N142" s="32"/>
      <c r="O142" s="32"/>
      <c r="P142" s="32"/>
      <c r="Q142" s="32"/>
      <c r="R142" s="32"/>
      <c r="S142" s="32"/>
      <c r="T142" s="34"/>
      <c r="U142" s="34"/>
      <c r="V142" s="36" t="str">
        <f t="shared" si="0"/>
        <v>100</v>
      </c>
      <c r="W142" s="39">
        <f>COUNTIF('52-60'!$V$2:$V206,V142)-1</f>
        <v>-1</v>
      </c>
      <c r="X142" s="40"/>
      <c r="Y142" s="40"/>
      <c r="Z142" s="40"/>
    </row>
    <row r="143" spans="1:26" ht="56.25">
      <c r="A143" s="17"/>
      <c r="B143" s="20" t="s">
        <v>454</v>
      </c>
      <c r="C143" s="21" t="s">
        <v>25</v>
      </c>
      <c r="D143" s="21" t="s">
        <v>26</v>
      </c>
      <c r="E143" s="22"/>
      <c r="F143" s="24" t="s">
        <v>455</v>
      </c>
      <c r="G143" s="26" t="s">
        <v>78</v>
      </c>
      <c r="H143" s="27">
        <v>10200</v>
      </c>
      <c r="I143" s="28"/>
      <c r="J143" s="29"/>
      <c r="K143" s="30"/>
      <c r="L143" s="31"/>
      <c r="M143" s="22"/>
      <c r="N143" s="32"/>
      <c r="O143" s="32"/>
      <c r="P143" s="32"/>
      <c r="Q143" s="32"/>
      <c r="R143" s="32"/>
      <c r="S143" s="32"/>
      <c r="T143" s="34"/>
      <c r="U143" s="34"/>
      <c r="V143" s="36" t="str">
        <f t="shared" si="0"/>
        <v>100</v>
      </c>
      <c r="W143" s="39">
        <f>COUNTIF('52-60'!$V$2:$V206,V143)-1</f>
        <v>-1</v>
      </c>
      <c r="X143" s="40"/>
      <c r="Y143" s="40"/>
      <c r="Z143" s="40"/>
    </row>
    <row r="144" spans="1:26" ht="56.25">
      <c r="A144" s="17"/>
      <c r="B144" s="20" t="s">
        <v>456</v>
      </c>
      <c r="C144" s="21" t="s">
        <v>25</v>
      </c>
      <c r="D144" s="21" t="s">
        <v>26</v>
      </c>
      <c r="E144" s="22"/>
      <c r="F144" s="24" t="s">
        <v>457</v>
      </c>
      <c r="G144" s="26" t="s">
        <v>78</v>
      </c>
      <c r="H144" s="27">
        <v>17700</v>
      </c>
      <c r="I144" s="28"/>
      <c r="J144" s="29"/>
      <c r="K144" s="30"/>
      <c r="L144" s="31"/>
      <c r="M144" s="22"/>
      <c r="N144" s="32"/>
      <c r="O144" s="32"/>
      <c r="P144" s="32"/>
      <c r="Q144" s="32"/>
      <c r="R144" s="32"/>
      <c r="S144" s="32"/>
      <c r="T144" s="34"/>
      <c r="U144" s="34"/>
      <c r="V144" s="36" t="str">
        <f t="shared" si="0"/>
        <v>100</v>
      </c>
      <c r="W144" s="39">
        <f>COUNTIF('52-60'!$V$2:$V206,V144)-1</f>
        <v>-1</v>
      </c>
      <c r="X144" s="40"/>
      <c r="Y144" s="40"/>
      <c r="Z144" s="40"/>
    </row>
    <row r="145" spans="1:26" ht="56.25">
      <c r="A145" s="17"/>
      <c r="B145" s="20" t="s">
        <v>461</v>
      </c>
      <c r="C145" s="21" t="s">
        <v>25</v>
      </c>
      <c r="D145" s="21" t="s">
        <v>26</v>
      </c>
      <c r="E145" s="22"/>
      <c r="F145" s="24" t="s">
        <v>463</v>
      </c>
      <c r="G145" s="26" t="s">
        <v>78</v>
      </c>
      <c r="H145" s="27">
        <v>21300</v>
      </c>
      <c r="I145" s="28"/>
      <c r="J145" s="29"/>
      <c r="K145" s="30"/>
      <c r="L145" s="31"/>
      <c r="M145" s="22"/>
      <c r="N145" s="32"/>
      <c r="O145" s="32"/>
      <c r="P145" s="32"/>
      <c r="Q145" s="32"/>
      <c r="R145" s="32"/>
      <c r="S145" s="32"/>
      <c r="T145" s="34"/>
      <c r="U145" s="34"/>
      <c r="V145" s="36" t="str">
        <f t="shared" si="0"/>
        <v>100</v>
      </c>
      <c r="W145" s="39">
        <f>COUNTIF('52-60'!$V$2:$V206,V145)-1</f>
        <v>-1</v>
      </c>
      <c r="X145" s="40"/>
      <c r="Y145" s="40"/>
      <c r="Z145" s="40"/>
    </row>
    <row r="146" spans="1:26" ht="56.25">
      <c r="A146" s="17"/>
      <c r="B146" s="20" t="s">
        <v>464</v>
      </c>
      <c r="C146" s="21" t="s">
        <v>25</v>
      </c>
      <c r="D146" s="21" t="s">
        <v>26</v>
      </c>
      <c r="E146" s="22"/>
      <c r="F146" s="24" t="s">
        <v>465</v>
      </c>
      <c r="G146" s="26" t="s">
        <v>78</v>
      </c>
      <c r="H146" s="27">
        <v>26500</v>
      </c>
      <c r="I146" s="28"/>
      <c r="J146" s="29"/>
      <c r="K146" s="30"/>
      <c r="L146" s="31"/>
      <c r="M146" s="22"/>
      <c r="N146" s="32"/>
      <c r="O146" s="32"/>
      <c r="P146" s="32"/>
      <c r="Q146" s="32"/>
      <c r="R146" s="32"/>
      <c r="S146" s="32"/>
      <c r="T146" s="34"/>
      <c r="U146" s="34"/>
      <c r="V146" s="36" t="str">
        <f t="shared" si="0"/>
        <v>100</v>
      </c>
      <c r="W146" s="39">
        <f>COUNTIF('52-60'!$V$2:$V206,V146)-1</f>
        <v>-1</v>
      </c>
      <c r="X146" s="40"/>
      <c r="Y146" s="40"/>
      <c r="Z146" s="40"/>
    </row>
    <row r="147" spans="1:26" ht="37.5">
      <c r="A147" s="17"/>
      <c r="B147" s="20" t="s">
        <v>469</v>
      </c>
      <c r="C147" s="21" t="s">
        <v>25</v>
      </c>
      <c r="D147" s="21" t="s">
        <v>26</v>
      </c>
      <c r="E147" s="22"/>
      <c r="F147" s="24" t="s">
        <v>470</v>
      </c>
      <c r="G147" s="26" t="s">
        <v>78</v>
      </c>
      <c r="H147" s="27">
        <v>8000</v>
      </c>
      <c r="I147" s="28"/>
      <c r="J147" s="29"/>
      <c r="K147" s="30"/>
      <c r="L147" s="31"/>
      <c r="M147" s="22"/>
      <c r="N147" s="32"/>
      <c r="O147" s="32"/>
      <c r="P147" s="32"/>
      <c r="Q147" s="32"/>
      <c r="R147" s="32"/>
      <c r="S147" s="32"/>
      <c r="T147" s="34"/>
      <c r="U147" s="34"/>
      <c r="V147" s="36" t="str">
        <f t="shared" si="0"/>
        <v>100</v>
      </c>
      <c r="W147" s="39">
        <f>COUNTIF('52-60'!$V$2:$V206,V147)-1</f>
        <v>-1</v>
      </c>
      <c r="X147" s="40"/>
      <c r="Y147" s="40"/>
      <c r="Z147" s="40"/>
    </row>
    <row r="148" spans="1:26" ht="37.5">
      <c r="A148" s="17"/>
      <c r="B148" s="20" t="s">
        <v>472</v>
      </c>
      <c r="C148" s="21" t="s">
        <v>25</v>
      </c>
      <c r="D148" s="21" t="s">
        <v>26</v>
      </c>
      <c r="E148" s="22"/>
      <c r="F148" s="24" t="s">
        <v>474</v>
      </c>
      <c r="G148" s="26" t="s">
        <v>78</v>
      </c>
      <c r="H148" s="27">
        <v>10300</v>
      </c>
      <c r="I148" s="28"/>
      <c r="J148" s="29"/>
      <c r="K148" s="30"/>
      <c r="L148" s="31"/>
      <c r="M148" s="22"/>
      <c r="N148" s="32"/>
      <c r="O148" s="32"/>
      <c r="P148" s="32"/>
      <c r="Q148" s="32"/>
      <c r="R148" s="32"/>
      <c r="S148" s="32"/>
      <c r="T148" s="34"/>
      <c r="U148" s="34"/>
      <c r="V148" s="36" t="str">
        <f t="shared" si="0"/>
        <v>100</v>
      </c>
      <c r="W148" s="39">
        <f>COUNTIF('52-60'!$V$2:$V206,V148)-1</f>
        <v>-1</v>
      </c>
      <c r="X148" s="40"/>
      <c r="Y148" s="40"/>
      <c r="Z148" s="40"/>
    </row>
    <row r="149" spans="1:26" ht="37.5">
      <c r="A149" s="17"/>
      <c r="B149" s="20" t="s">
        <v>475</v>
      </c>
      <c r="C149" s="21" t="s">
        <v>25</v>
      </c>
      <c r="D149" s="21" t="s">
        <v>26</v>
      </c>
      <c r="E149" s="22"/>
      <c r="F149" s="24" t="s">
        <v>476</v>
      </c>
      <c r="G149" s="26" t="s">
        <v>78</v>
      </c>
      <c r="H149" s="27">
        <v>13100</v>
      </c>
      <c r="I149" s="28"/>
      <c r="J149" s="29"/>
      <c r="K149" s="30"/>
      <c r="L149" s="31"/>
      <c r="M149" s="22"/>
      <c r="N149" s="32"/>
      <c r="O149" s="32"/>
      <c r="P149" s="32"/>
      <c r="Q149" s="32"/>
      <c r="R149" s="32"/>
      <c r="S149" s="32"/>
      <c r="T149" s="34"/>
      <c r="U149" s="34"/>
      <c r="V149" s="36" t="str">
        <f t="shared" si="0"/>
        <v>100</v>
      </c>
      <c r="W149" s="39">
        <f>COUNTIF('52-60'!$V$2:$V206,V149)-1</f>
        <v>-1</v>
      </c>
      <c r="X149" s="40"/>
      <c r="Y149" s="40"/>
      <c r="Z149" s="40"/>
    </row>
    <row r="150" spans="1:26" ht="37.5">
      <c r="A150" s="17"/>
      <c r="B150" s="20" t="s">
        <v>477</v>
      </c>
      <c r="C150" s="21" t="s">
        <v>25</v>
      </c>
      <c r="D150" s="21" t="s">
        <v>26</v>
      </c>
      <c r="E150" s="22"/>
      <c r="F150" s="24" t="s">
        <v>480</v>
      </c>
      <c r="G150" s="26" t="s">
        <v>78</v>
      </c>
      <c r="H150" s="27">
        <v>17500</v>
      </c>
      <c r="I150" s="28"/>
      <c r="J150" s="29"/>
      <c r="K150" s="30"/>
      <c r="L150" s="31"/>
      <c r="M150" s="22"/>
      <c r="N150" s="32"/>
      <c r="O150" s="32"/>
      <c r="P150" s="32"/>
      <c r="Q150" s="32"/>
      <c r="R150" s="32"/>
      <c r="S150" s="32"/>
      <c r="T150" s="34"/>
      <c r="U150" s="34"/>
      <c r="V150" s="36" t="str">
        <f t="shared" si="0"/>
        <v>100</v>
      </c>
      <c r="W150" s="39">
        <f>COUNTIF('52-60'!$V$2:$V206,V150)-1</f>
        <v>-1</v>
      </c>
      <c r="X150" s="40"/>
      <c r="Y150" s="40"/>
      <c r="Z150" s="40"/>
    </row>
    <row r="151" spans="1:26" ht="37.5">
      <c r="A151" s="17"/>
      <c r="B151" s="20" t="s">
        <v>483</v>
      </c>
      <c r="C151" s="21" t="s">
        <v>25</v>
      </c>
      <c r="D151" s="21" t="s">
        <v>26</v>
      </c>
      <c r="E151" s="22"/>
      <c r="F151" s="24" t="s">
        <v>484</v>
      </c>
      <c r="G151" s="26" t="s">
        <v>78</v>
      </c>
      <c r="H151" s="27">
        <v>17800</v>
      </c>
      <c r="I151" s="28"/>
      <c r="J151" s="29"/>
      <c r="K151" s="30"/>
      <c r="L151" s="31"/>
      <c r="M151" s="22"/>
      <c r="N151" s="32"/>
      <c r="O151" s="32"/>
      <c r="P151" s="32"/>
      <c r="Q151" s="32"/>
      <c r="R151" s="32"/>
      <c r="S151" s="32"/>
      <c r="T151" s="34"/>
      <c r="U151" s="34"/>
      <c r="V151" s="36" t="str">
        <f t="shared" si="0"/>
        <v>100</v>
      </c>
      <c r="W151" s="39">
        <f>COUNTIF('52-60'!$V$2:$V206,V151)-1</f>
        <v>-1</v>
      </c>
      <c r="X151" s="40"/>
      <c r="Y151" s="40"/>
      <c r="Z151" s="40"/>
    </row>
    <row r="152" spans="1:26" ht="37.5">
      <c r="A152" s="17"/>
      <c r="B152" s="20" t="s">
        <v>487</v>
      </c>
      <c r="C152" s="21" t="s">
        <v>25</v>
      </c>
      <c r="D152" s="21" t="s">
        <v>26</v>
      </c>
      <c r="E152" s="22"/>
      <c r="F152" s="24" t="s">
        <v>488</v>
      </c>
      <c r="G152" s="26" t="s">
        <v>78</v>
      </c>
      <c r="H152" s="27">
        <v>23200</v>
      </c>
      <c r="I152" s="28"/>
      <c r="J152" s="29"/>
      <c r="K152" s="30"/>
      <c r="L152" s="31"/>
      <c r="M152" s="22"/>
      <c r="N152" s="32"/>
      <c r="O152" s="32"/>
      <c r="P152" s="32"/>
      <c r="Q152" s="32"/>
      <c r="R152" s="32"/>
      <c r="S152" s="32"/>
      <c r="T152" s="34"/>
      <c r="U152" s="34"/>
      <c r="V152" s="36" t="str">
        <f t="shared" si="0"/>
        <v>100</v>
      </c>
      <c r="W152" s="39">
        <f>COUNTIF('52-60'!$V$2:$V206,V152)-1</f>
        <v>-1</v>
      </c>
      <c r="X152" s="40"/>
      <c r="Y152" s="40"/>
      <c r="Z152" s="40"/>
    </row>
    <row r="153" spans="1:26" ht="18.75">
      <c r="A153" s="17"/>
      <c r="B153" s="20" t="s">
        <v>491</v>
      </c>
      <c r="C153" s="21" t="s">
        <v>25</v>
      </c>
      <c r="D153" s="21" t="s">
        <v>26</v>
      </c>
      <c r="E153" s="22"/>
      <c r="F153" s="24" t="s">
        <v>492</v>
      </c>
      <c r="G153" s="26" t="s">
        <v>53</v>
      </c>
      <c r="H153" s="27">
        <v>460000</v>
      </c>
      <c r="I153" s="28"/>
      <c r="J153" s="29"/>
      <c r="K153" s="30"/>
      <c r="L153" s="31"/>
      <c r="M153" s="22"/>
      <c r="N153" s="32"/>
      <c r="O153" s="32"/>
      <c r="P153" s="32"/>
      <c r="Q153" s="32"/>
      <c r="R153" s="32"/>
      <c r="S153" s="32"/>
      <c r="T153" s="34"/>
      <c r="U153" s="34"/>
      <c r="V153" s="36" t="str">
        <f t="shared" si="0"/>
        <v>100</v>
      </c>
      <c r="W153" s="39">
        <f>COUNTIF('52-60'!$V$2:$V206,V153)-1</f>
        <v>-1</v>
      </c>
      <c r="X153" s="40"/>
      <c r="Y153" s="40"/>
      <c r="Z153" s="40"/>
    </row>
    <row r="154" spans="1:26" ht="18.75">
      <c r="A154" s="17"/>
      <c r="B154" s="20" t="s">
        <v>495</v>
      </c>
      <c r="C154" s="21" t="s">
        <v>25</v>
      </c>
      <c r="D154" s="21" t="s">
        <v>26</v>
      </c>
      <c r="E154" s="22"/>
      <c r="F154" s="24" t="s">
        <v>497</v>
      </c>
      <c r="G154" s="26" t="s">
        <v>28</v>
      </c>
      <c r="H154" s="27">
        <v>20000</v>
      </c>
      <c r="I154" s="28"/>
      <c r="J154" s="29"/>
      <c r="K154" s="30"/>
      <c r="L154" s="31"/>
      <c r="M154" s="22"/>
      <c r="N154" s="32"/>
      <c r="O154" s="32"/>
      <c r="P154" s="32"/>
      <c r="Q154" s="32"/>
      <c r="R154" s="32"/>
      <c r="S154" s="32"/>
      <c r="T154" s="34"/>
      <c r="U154" s="34"/>
      <c r="V154" s="36" t="str">
        <f t="shared" si="0"/>
        <v>100</v>
      </c>
      <c r="W154" s="39">
        <f>COUNTIF('52-60'!$V$2:$V206,V154)-1</f>
        <v>-1</v>
      </c>
      <c r="X154" s="40"/>
      <c r="Y154" s="40"/>
      <c r="Z154" s="40"/>
    </row>
    <row r="155" spans="1:26" ht="18.75">
      <c r="A155" s="17"/>
      <c r="B155" s="20" t="s">
        <v>499</v>
      </c>
      <c r="C155" s="21" t="s">
        <v>25</v>
      </c>
      <c r="D155" s="21" t="s">
        <v>26</v>
      </c>
      <c r="E155" s="22"/>
      <c r="F155" s="24" t="s">
        <v>500</v>
      </c>
      <c r="G155" s="26" t="s">
        <v>28</v>
      </c>
      <c r="H155" s="27">
        <v>6900</v>
      </c>
      <c r="I155" s="28"/>
      <c r="J155" s="29"/>
      <c r="K155" s="30"/>
      <c r="L155" s="31"/>
      <c r="M155" s="22"/>
      <c r="N155" s="32"/>
      <c r="O155" s="32"/>
      <c r="P155" s="32"/>
      <c r="Q155" s="32"/>
      <c r="R155" s="32"/>
      <c r="S155" s="32"/>
      <c r="T155" s="34"/>
      <c r="U155" s="34"/>
      <c r="V155" s="36" t="str">
        <f t="shared" si="0"/>
        <v>100</v>
      </c>
      <c r="W155" s="39">
        <f>COUNTIF('52-60'!$V$2:$V206,V155)-1</f>
        <v>-1</v>
      </c>
      <c r="X155" s="40"/>
      <c r="Y155" s="40"/>
      <c r="Z155" s="40"/>
    </row>
    <row r="156" spans="1:26" ht="18.75">
      <c r="A156" s="17"/>
      <c r="B156" s="20" t="s">
        <v>501</v>
      </c>
      <c r="C156" s="21" t="s">
        <v>25</v>
      </c>
      <c r="D156" s="21" t="s">
        <v>26</v>
      </c>
      <c r="E156" s="22"/>
      <c r="F156" s="24" t="s">
        <v>502</v>
      </c>
      <c r="G156" s="26" t="s">
        <v>28</v>
      </c>
      <c r="H156" s="27">
        <v>12800</v>
      </c>
      <c r="I156" s="28"/>
      <c r="J156" s="29"/>
      <c r="K156" s="30"/>
      <c r="L156" s="31"/>
      <c r="M156" s="22"/>
      <c r="N156" s="32"/>
      <c r="O156" s="32"/>
      <c r="P156" s="32"/>
      <c r="Q156" s="32"/>
      <c r="R156" s="32"/>
      <c r="S156" s="32"/>
      <c r="T156" s="34"/>
      <c r="U156" s="34"/>
      <c r="V156" s="36" t="str">
        <f t="shared" si="0"/>
        <v>100</v>
      </c>
      <c r="W156" s="39">
        <f>COUNTIF('52-60'!$V$2:$V206,V156)-1</f>
        <v>-1</v>
      </c>
      <c r="X156" s="40"/>
      <c r="Y156" s="40"/>
      <c r="Z156" s="40"/>
    </row>
    <row r="157" spans="1:26" ht="18.75">
      <c r="A157" s="17"/>
      <c r="B157" s="20" t="s">
        <v>505</v>
      </c>
      <c r="C157" s="21" t="s">
        <v>25</v>
      </c>
      <c r="D157" s="21" t="s">
        <v>26</v>
      </c>
      <c r="E157" s="22"/>
      <c r="F157" s="24" t="s">
        <v>506</v>
      </c>
      <c r="G157" s="26" t="s">
        <v>28</v>
      </c>
      <c r="H157" s="27">
        <v>11500</v>
      </c>
      <c r="I157" s="28"/>
      <c r="J157" s="29"/>
      <c r="K157" s="30"/>
      <c r="L157" s="31"/>
      <c r="M157" s="22"/>
      <c r="N157" s="32"/>
      <c r="O157" s="32"/>
      <c r="P157" s="32"/>
      <c r="Q157" s="32"/>
      <c r="R157" s="32"/>
      <c r="S157" s="32"/>
      <c r="T157" s="34"/>
      <c r="U157" s="34"/>
      <c r="V157" s="36" t="str">
        <f t="shared" si="0"/>
        <v>100</v>
      </c>
      <c r="W157" s="39">
        <f>COUNTIF('52-60'!$V$2:$V206,V157)-1</f>
        <v>-1</v>
      </c>
      <c r="X157" s="40"/>
      <c r="Y157" s="40"/>
      <c r="Z157" s="40"/>
    </row>
    <row r="158" spans="1:26" ht="18.75">
      <c r="A158" s="17"/>
      <c r="B158" s="20" t="s">
        <v>509</v>
      </c>
      <c r="C158" s="21" t="s">
        <v>25</v>
      </c>
      <c r="D158" s="21" t="s">
        <v>26</v>
      </c>
      <c r="E158" s="22"/>
      <c r="F158" s="24" t="s">
        <v>510</v>
      </c>
      <c r="G158" s="26" t="s">
        <v>28</v>
      </c>
      <c r="H158" s="27">
        <v>8000</v>
      </c>
      <c r="I158" s="28"/>
      <c r="J158" s="29"/>
      <c r="K158" s="30"/>
      <c r="L158" s="31"/>
      <c r="M158" s="22"/>
      <c r="N158" s="32"/>
      <c r="O158" s="32"/>
      <c r="P158" s="32"/>
      <c r="Q158" s="32"/>
      <c r="R158" s="32"/>
      <c r="S158" s="32"/>
      <c r="T158" s="34"/>
      <c r="U158" s="34"/>
      <c r="V158" s="36" t="str">
        <f t="shared" si="0"/>
        <v>100</v>
      </c>
      <c r="W158" s="39">
        <f>COUNTIF('52-60'!$V$2:$V206,V158)-1</f>
        <v>-1</v>
      </c>
      <c r="X158" s="40"/>
      <c r="Y158" s="40"/>
      <c r="Z158" s="40"/>
    </row>
    <row r="159" spans="1:26" ht="18.75">
      <c r="A159" s="17"/>
      <c r="B159" s="20" t="s">
        <v>513</v>
      </c>
      <c r="C159" s="21" t="s">
        <v>25</v>
      </c>
      <c r="D159" s="21" t="s">
        <v>26</v>
      </c>
      <c r="E159" s="22"/>
      <c r="F159" s="24" t="s">
        <v>514</v>
      </c>
      <c r="G159" s="26" t="s">
        <v>28</v>
      </c>
      <c r="H159" s="27">
        <v>40800</v>
      </c>
      <c r="I159" s="28"/>
      <c r="J159" s="54" t="str">
        <f>HYPERLINK("https://drive.google.com/open?id=1uRKauPNhvZ-Kx2o2zLSRMFbmPZrJaKkb","จากบัญชีของ สน.งปฯ ธ.ค.61")</f>
        <v>จากบัญชีของ สน.งปฯ ธ.ค.61</v>
      </c>
      <c r="K159" s="30"/>
      <c r="L159" s="31"/>
      <c r="M159" s="22"/>
      <c r="N159" s="32"/>
      <c r="O159" s="32"/>
      <c r="P159" s="32"/>
      <c r="Q159" s="32"/>
      <c r="R159" s="32"/>
      <c r="S159" s="32"/>
      <c r="T159" s="34"/>
      <c r="U159" s="34"/>
      <c r="V159" s="36" t="str">
        <f t="shared" si="0"/>
        <v>100</v>
      </c>
      <c r="W159" s="39">
        <f>COUNTIF('52-60'!$V$2:$V206,V159)-1</f>
        <v>-1</v>
      </c>
      <c r="X159" s="40"/>
      <c r="Y159" s="40"/>
      <c r="Z159" s="40"/>
    </row>
    <row r="160" spans="1:26" ht="18.75">
      <c r="A160" s="17"/>
      <c r="B160" s="20" t="s">
        <v>517</v>
      </c>
      <c r="C160" s="21" t="s">
        <v>25</v>
      </c>
      <c r="D160" s="21" t="s">
        <v>26</v>
      </c>
      <c r="E160" s="22"/>
      <c r="F160" s="24" t="s">
        <v>518</v>
      </c>
      <c r="G160" s="26" t="s">
        <v>28</v>
      </c>
      <c r="H160" s="27">
        <v>48500</v>
      </c>
      <c r="I160" s="28"/>
      <c r="J160" s="54" t="str">
        <f>HYPERLINK("https://drive.google.com/open?id=1uRKauPNhvZ-Kx2o2zLSRMFbmPZrJaKkb","จากบัญชีของ สน.งปฯ ธ.ค.61")</f>
        <v>จากบัญชีของ สน.งปฯ ธ.ค.61</v>
      </c>
      <c r="K160" s="30"/>
      <c r="L160" s="31"/>
      <c r="M160" s="22"/>
      <c r="N160" s="32"/>
      <c r="O160" s="32"/>
      <c r="P160" s="32"/>
      <c r="Q160" s="32"/>
      <c r="R160" s="32"/>
      <c r="S160" s="32"/>
      <c r="T160" s="34"/>
      <c r="U160" s="34"/>
      <c r="V160" s="36" t="str">
        <f t="shared" si="0"/>
        <v>100</v>
      </c>
      <c r="W160" s="39">
        <f>COUNTIF('52-60'!$V$2:$V206,V160)-1</f>
        <v>-1</v>
      </c>
      <c r="X160" s="40"/>
      <c r="Y160" s="40"/>
      <c r="Z160" s="40"/>
    </row>
    <row r="161" spans="1:26" ht="18.75">
      <c r="A161" s="17"/>
      <c r="B161" s="20" t="s">
        <v>521</v>
      </c>
      <c r="C161" s="21" t="s">
        <v>25</v>
      </c>
      <c r="D161" s="21" t="s">
        <v>26</v>
      </c>
      <c r="E161" s="22"/>
      <c r="F161" s="24" t="s">
        <v>522</v>
      </c>
      <c r="G161" s="26" t="s">
        <v>28</v>
      </c>
      <c r="H161" s="27">
        <v>56000</v>
      </c>
      <c r="I161" s="28"/>
      <c r="J161" s="54" t="str">
        <f>HYPERLINK("https://drive.google.com/open?id=1uRKauPNhvZ-Kx2o2zLSRMFbmPZrJaKkb","จากบัญชีของ สน.งปฯ ธ.ค.61")</f>
        <v>จากบัญชีของ สน.งปฯ ธ.ค.61</v>
      </c>
      <c r="K161" s="30"/>
      <c r="L161" s="31"/>
      <c r="M161" s="22"/>
      <c r="N161" s="32"/>
      <c r="O161" s="32"/>
      <c r="P161" s="32"/>
      <c r="Q161" s="32"/>
      <c r="R161" s="32"/>
      <c r="S161" s="32"/>
      <c r="T161" s="34"/>
      <c r="U161" s="34"/>
      <c r="V161" s="36" t="str">
        <f t="shared" si="0"/>
        <v>100</v>
      </c>
      <c r="W161" s="39">
        <f>COUNTIF('52-60'!$V$2:$V206,V161)-1</f>
        <v>-1</v>
      </c>
      <c r="X161" s="40"/>
      <c r="Y161" s="40"/>
      <c r="Z161" s="40"/>
    </row>
    <row r="162" spans="1:26" ht="18.75">
      <c r="A162" s="17"/>
      <c r="B162" s="20" t="s">
        <v>523</v>
      </c>
      <c r="C162" s="21" t="s">
        <v>25</v>
      </c>
      <c r="D162" s="21" t="s">
        <v>26</v>
      </c>
      <c r="E162" s="22"/>
      <c r="F162" s="24" t="s">
        <v>524</v>
      </c>
      <c r="G162" s="26" t="s">
        <v>28</v>
      </c>
      <c r="H162" s="27">
        <v>87000</v>
      </c>
      <c r="I162" s="28"/>
      <c r="J162" s="54" t="str">
        <f>HYPERLINK("https://drive.google.com/open?id=1uRKauPNhvZ-Kx2o2zLSRMFbmPZrJaKkb","จากบัญชีของ สน.งปฯ ธ.ค.61")</f>
        <v>จากบัญชีของ สน.งปฯ ธ.ค.61</v>
      </c>
      <c r="K162" s="30"/>
      <c r="L162" s="31"/>
      <c r="M162" s="22"/>
      <c r="N162" s="32"/>
      <c r="O162" s="32"/>
      <c r="P162" s="32"/>
      <c r="Q162" s="32"/>
      <c r="R162" s="32"/>
      <c r="S162" s="32"/>
      <c r="T162" s="34"/>
      <c r="U162" s="34"/>
      <c r="V162" s="36" t="str">
        <f t="shared" si="0"/>
        <v>100</v>
      </c>
      <c r="W162" s="39">
        <f>COUNTIF('52-60'!$V$2:$V206,V162)-1</f>
        <v>-1</v>
      </c>
      <c r="X162" s="40"/>
      <c r="Y162" s="40"/>
      <c r="Z162" s="40"/>
    </row>
    <row r="163" spans="1:26" ht="18.75">
      <c r="A163" s="17"/>
      <c r="B163" s="20" t="s">
        <v>527</v>
      </c>
      <c r="C163" s="21" t="s">
        <v>25</v>
      </c>
      <c r="D163" s="21" t="s">
        <v>26</v>
      </c>
      <c r="E163" s="22"/>
      <c r="F163" s="24" t="s">
        <v>528</v>
      </c>
      <c r="G163" s="26" t="s">
        <v>28</v>
      </c>
      <c r="H163" s="27">
        <v>150000</v>
      </c>
      <c r="I163" s="28"/>
      <c r="J163" s="54" t="str">
        <f>HYPERLINK("https://drive.google.com/open?id=1uRKauPNhvZ-Kx2o2zLSRMFbmPZrJaKkb","จากบัญชีของ สน.งปฯ ธ.ค.61")</f>
        <v>จากบัญชีของ สน.งปฯ ธ.ค.61</v>
      </c>
      <c r="K163" s="30"/>
      <c r="L163" s="31"/>
      <c r="M163" s="22"/>
      <c r="N163" s="32"/>
      <c r="O163" s="32"/>
      <c r="P163" s="32"/>
      <c r="Q163" s="32"/>
      <c r="R163" s="32"/>
      <c r="S163" s="32"/>
      <c r="T163" s="34"/>
      <c r="U163" s="34"/>
      <c r="V163" s="36" t="str">
        <f t="shared" si="0"/>
        <v>100</v>
      </c>
      <c r="W163" s="39">
        <f>COUNTIF('52-60'!$V$2:$V206,V163)-1</f>
        <v>-1</v>
      </c>
      <c r="X163" s="40"/>
      <c r="Y163" s="40"/>
      <c r="Z163" s="40"/>
    </row>
    <row r="164" spans="1:26" ht="18.75">
      <c r="A164" s="17"/>
      <c r="B164" s="20" t="s">
        <v>530</v>
      </c>
      <c r="C164" s="21" t="s">
        <v>25</v>
      </c>
      <c r="D164" s="21" t="s">
        <v>26</v>
      </c>
      <c r="E164" s="22"/>
      <c r="F164" s="24" t="s">
        <v>532</v>
      </c>
      <c r="G164" s="26" t="s">
        <v>28</v>
      </c>
      <c r="H164" s="27">
        <v>66000</v>
      </c>
      <c r="I164" s="28"/>
      <c r="J164" s="29"/>
      <c r="K164" s="30"/>
      <c r="L164" s="31"/>
      <c r="M164" s="22"/>
      <c r="N164" s="32"/>
      <c r="O164" s="32"/>
      <c r="P164" s="32"/>
      <c r="Q164" s="32"/>
      <c r="R164" s="32"/>
      <c r="S164" s="32"/>
      <c r="T164" s="34"/>
      <c r="U164" s="34"/>
      <c r="V164" s="36" t="str">
        <f t="shared" si="0"/>
        <v>100</v>
      </c>
      <c r="W164" s="39">
        <f>COUNTIF('52-60'!$V$2:$V206,V164)-1</f>
        <v>-1</v>
      </c>
      <c r="X164" s="40"/>
      <c r="Y164" s="40"/>
      <c r="Z164" s="40"/>
    </row>
    <row r="165" spans="1:26" ht="18.75">
      <c r="A165" s="17"/>
      <c r="B165" s="20" t="s">
        <v>533</v>
      </c>
      <c r="C165" s="21" t="s">
        <v>25</v>
      </c>
      <c r="D165" s="21" t="s">
        <v>26</v>
      </c>
      <c r="E165" s="22"/>
      <c r="F165" s="24" t="s">
        <v>534</v>
      </c>
      <c r="G165" s="26" t="s">
        <v>28</v>
      </c>
      <c r="H165" s="27">
        <v>60000</v>
      </c>
      <c r="I165" s="28"/>
      <c r="J165" s="29"/>
      <c r="K165" s="30"/>
      <c r="L165" s="31"/>
      <c r="M165" s="22"/>
      <c r="N165" s="32"/>
      <c r="O165" s="32"/>
      <c r="P165" s="32"/>
      <c r="Q165" s="32"/>
      <c r="R165" s="32"/>
      <c r="S165" s="32"/>
      <c r="T165" s="34"/>
      <c r="U165" s="34"/>
      <c r="V165" s="36" t="str">
        <f t="shared" si="0"/>
        <v>100</v>
      </c>
      <c r="W165" s="39">
        <f>COUNTIF('52-60'!$V$2:$V206,V165)-1</f>
        <v>-1</v>
      </c>
      <c r="X165" s="40"/>
      <c r="Y165" s="40"/>
      <c r="Z165" s="40"/>
    </row>
    <row r="166" spans="1:26" ht="75">
      <c r="A166" s="17"/>
      <c r="B166" s="20" t="s">
        <v>538</v>
      </c>
      <c r="C166" s="21" t="s">
        <v>25</v>
      </c>
      <c r="D166" s="21" t="s">
        <v>26</v>
      </c>
      <c r="E166" s="22"/>
      <c r="F166" s="24" t="s">
        <v>539</v>
      </c>
      <c r="G166" s="26" t="s">
        <v>28</v>
      </c>
      <c r="H166" s="27">
        <v>729000</v>
      </c>
      <c r="I166" s="28"/>
      <c r="J166" s="29"/>
      <c r="K166" s="30"/>
      <c r="L166" s="31"/>
      <c r="M166" s="22"/>
      <c r="N166" s="32"/>
      <c r="O166" s="32"/>
      <c r="P166" s="32"/>
      <c r="Q166" s="32"/>
      <c r="R166" s="32"/>
      <c r="S166" s="32"/>
      <c r="T166" s="34"/>
      <c r="U166" s="34"/>
      <c r="V166" s="36" t="str">
        <f t="shared" si="0"/>
        <v>100</v>
      </c>
      <c r="W166" s="39">
        <f>COUNTIF('52-60'!$V$2:$V206,V166)-1</f>
        <v>-1</v>
      </c>
      <c r="X166" s="40"/>
      <c r="Y166" s="40"/>
      <c r="Z166" s="40"/>
    </row>
    <row r="167" spans="1:26" ht="75">
      <c r="A167" s="17"/>
      <c r="B167" s="20" t="s">
        <v>540</v>
      </c>
      <c r="C167" s="21" t="s">
        <v>25</v>
      </c>
      <c r="D167" s="21" t="s">
        <v>26</v>
      </c>
      <c r="E167" s="22"/>
      <c r="F167" s="24" t="s">
        <v>541</v>
      </c>
      <c r="G167" s="26" t="s">
        <v>28</v>
      </c>
      <c r="H167" s="27">
        <v>662000</v>
      </c>
      <c r="I167" s="28"/>
      <c r="J167" s="29"/>
      <c r="K167" s="30"/>
      <c r="L167" s="31"/>
      <c r="M167" s="22"/>
      <c r="N167" s="32"/>
      <c r="O167" s="32"/>
      <c r="P167" s="32"/>
      <c r="Q167" s="32"/>
      <c r="R167" s="32"/>
      <c r="S167" s="32"/>
      <c r="T167" s="34"/>
      <c r="U167" s="34"/>
      <c r="V167" s="36" t="str">
        <f t="shared" si="0"/>
        <v>100</v>
      </c>
      <c r="W167" s="39">
        <f>COUNTIF('52-60'!$V$2:$V206,V167)-1</f>
        <v>-1</v>
      </c>
      <c r="X167" s="40"/>
      <c r="Y167" s="40"/>
      <c r="Z167" s="40"/>
    </row>
    <row r="168" spans="1:26" ht="75">
      <c r="A168" s="17"/>
      <c r="B168" s="20" t="s">
        <v>544</v>
      </c>
      <c r="C168" s="21" t="s">
        <v>25</v>
      </c>
      <c r="D168" s="21" t="s">
        <v>26</v>
      </c>
      <c r="E168" s="22"/>
      <c r="F168" s="24" t="s">
        <v>545</v>
      </c>
      <c r="G168" s="26" t="s">
        <v>28</v>
      </c>
      <c r="H168" s="27">
        <v>814000</v>
      </c>
      <c r="I168" s="28"/>
      <c r="J168" s="29"/>
      <c r="K168" s="30"/>
      <c r="L168" s="31"/>
      <c r="M168" s="22"/>
      <c r="N168" s="32"/>
      <c r="O168" s="32"/>
      <c r="P168" s="32"/>
      <c r="Q168" s="32"/>
      <c r="R168" s="32"/>
      <c r="S168" s="32"/>
      <c r="T168" s="34"/>
      <c r="U168" s="34"/>
      <c r="V168" s="36" t="str">
        <f t="shared" si="0"/>
        <v>100</v>
      </c>
      <c r="W168" s="39">
        <f>COUNTIF('52-60'!$V$2:$V206,V168)-1</f>
        <v>-1</v>
      </c>
      <c r="X168" s="40"/>
      <c r="Y168" s="40"/>
      <c r="Z168" s="40"/>
    </row>
    <row r="169" spans="1:26" ht="75">
      <c r="A169" s="17"/>
      <c r="B169" s="20" t="s">
        <v>547</v>
      </c>
      <c r="C169" s="21" t="s">
        <v>25</v>
      </c>
      <c r="D169" s="21" t="s">
        <v>26</v>
      </c>
      <c r="E169" s="22"/>
      <c r="F169" s="24" t="s">
        <v>549</v>
      </c>
      <c r="G169" s="26" t="s">
        <v>28</v>
      </c>
      <c r="H169" s="27">
        <v>575000</v>
      </c>
      <c r="I169" s="28"/>
      <c r="J169" s="29"/>
      <c r="K169" s="30"/>
      <c r="L169" s="31"/>
      <c r="M169" s="22"/>
      <c r="N169" s="32"/>
      <c r="O169" s="32"/>
      <c r="P169" s="32"/>
      <c r="Q169" s="32"/>
      <c r="R169" s="32"/>
      <c r="S169" s="32"/>
      <c r="T169" s="34"/>
      <c r="U169" s="34"/>
      <c r="V169" s="36" t="str">
        <f t="shared" si="0"/>
        <v>100</v>
      </c>
      <c r="W169" s="39">
        <f>COUNTIF('52-60'!$V$2:$V206,V169)-1</f>
        <v>-1</v>
      </c>
      <c r="X169" s="40"/>
      <c r="Y169" s="40"/>
      <c r="Z169" s="40"/>
    </row>
    <row r="170" spans="1:26" ht="75">
      <c r="A170" s="17"/>
      <c r="B170" s="20" t="s">
        <v>552</v>
      </c>
      <c r="C170" s="21" t="s">
        <v>25</v>
      </c>
      <c r="D170" s="21" t="s">
        <v>26</v>
      </c>
      <c r="E170" s="22"/>
      <c r="F170" s="24" t="s">
        <v>553</v>
      </c>
      <c r="G170" s="26" t="s">
        <v>28</v>
      </c>
      <c r="H170" s="27">
        <v>715000</v>
      </c>
      <c r="I170" s="28"/>
      <c r="J170" s="29"/>
      <c r="K170" s="30"/>
      <c r="L170" s="31"/>
      <c r="M170" s="22"/>
      <c r="N170" s="32"/>
      <c r="O170" s="32"/>
      <c r="P170" s="32"/>
      <c r="Q170" s="32"/>
      <c r="R170" s="32"/>
      <c r="S170" s="32"/>
      <c r="T170" s="34"/>
      <c r="U170" s="34"/>
      <c r="V170" s="36" t="str">
        <f t="shared" si="0"/>
        <v>100</v>
      </c>
      <c r="W170" s="39">
        <f>COUNTIF('52-60'!$V$2:$V206,V170)-1</f>
        <v>-1</v>
      </c>
      <c r="X170" s="40"/>
      <c r="Y170" s="40"/>
      <c r="Z170" s="40"/>
    </row>
    <row r="171" spans="1:26" ht="75">
      <c r="A171" s="17"/>
      <c r="B171" s="20" t="s">
        <v>554</v>
      </c>
      <c r="C171" s="21" t="s">
        <v>25</v>
      </c>
      <c r="D171" s="21" t="s">
        <v>26</v>
      </c>
      <c r="E171" s="22"/>
      <c r="F171" s="24" t="s">
        <v>555</v>
      </c>
      <c r="G171" s="26" t="s">
        <v>28</v>
      </c>
      <c r="H171" s="27">
        <v>957000</v>
      </c>
      <c r="I171" s="28"/>
      <c r="J171" s="29"/>
      <c r="K171" s="30"/>
      <c r="L171" s="31"/>
      <c r="M171" s="22"/>
      <c r="N171" s="32"/>
      <c r="O171" s="32"/>
      <c r="P171" s="32"/>
      <c r="Q171" s="32"/>
      <c r="R171" s="32"/>
      <c r="S171" s="32"/>
      <c r="T171" s="34"/>
      <c r="U171" s="34"/>
      <c r="V171" s="36" t="str">
        <f t="shared" si="0"/>
        <v>100</v>
      </c>
      <c r="W171" s="39">
        <f>COUNTIF('52-60'!$V$2:$V206,V171)-1</f>
        <v>-1</v>
      </c>
      <c r="X171" s="40"/>
      <c r="Y171" s="40"/>
      <c r="Z171" s="40"/>
    </row>
    <row r="172" spans="1:26" ht="75">
      <c r="A172" s="17"/>
      <c r="B172" s="20" t="s">
        <v>556</v>
      </c>
      <c r="C172" s="21" t="s">
        <v>25</v>
      </c>
      <c r="D172" s="21" t="s">
        <v>26</v>
      </c>
      <c r="E172" s="22"/>
      <c r="F172" s="24" t="s">
        <v>557</v>
      </c>
      <c r="G172" s="26" t="s">
        <v>28</v>
      </c>
      <c r="H172" s="27">
        <v>829000</v>
      </c>
      <c r="I172" s="28"/>
      <c r="J172" s="29"/>
      <c r="K172" s="30"/>
      <c r="L172" s="31"/>
      <c r="M172" s="22"/>
      <c r="N172" s="32"/>
      <c r="O172" s="32"/>
      <c r="P172" s="32"/>
      <c r="Q172" s="32"/>
      <c r="R172" s="32"/>
      <c r="S172" s="32"/>
      <c r="T172" s="34"/>
      <c r="U172" s="34"/>
      <c r="V172" s="36" t="str">
        <f t="shared" si="0"/>
        <v>100</v>
      </c>
      <c r="W172" s="39">
        <f>COUNTIF('52-60'!$V$2:$V206,V172)-1</f>
        <v>-1</v>
      </c>
      <c r="X172" s="40"/>
      <c r="Y172" s="40"/>
      <c r="Z172" s="40"/>
    </row>
    <row r="173" spans="1:26" ht="56.25">
      <c r="A173" s="17"/>
      <c r="B173" s="20" t="s">
        <v>560</v>
      </c>
      <c r="C173" s="21" t="s">
        <v>25</v>
      </c>
      <c r="D173" s="21" t="s">
        <v>26</v>
      </c>
      <c r="E173" s="22"/>
      <c r="F173" s="24" t="s">
        <v>561</v>
      </c>
      <c r="G173" s="26" t="s">
        <v>562</v>
      </c>
      <c r="H173" s="27">
        <v>982000</v>
      </c>
      <c r="I173" s="28"/>
      <c r="J173" s="29"/>
      <c r="K173" s="30"/>
      <c r="L173" s="31"/>
      <c r="M173" s="22"/>
      <c r="N173" s="32"/>
      <c r="O173" s="32"/>
      <c r="P173" s="32"/>
      <c r="Q173" s="32"/>
      <c r="R173" s="32"/>
      <c r="S173" s="32"/>
      <c r="T173" s="34"/>
      <c r="U173" s="34"/>
      <c r="V173" s="36" t="str">
        <f t="shared" si="0"/>
        <v>100</v>
      </c>
      <c r="W173" s="39">
        <f>COUNTIF('52-60'!$V$2:$V206,V173)-1</f>
        <v>-1</v>
      </c>
      <c r="X173" s="40"/>
      <c r="Y173" s="40"/>
      <c r="Z173" s="40"/>
    </row>
    <row r="174" spans="1:26" ht="56.25">
      <c r="A174" s="17"/>
      <c r="B174" s="20" t="s">
        <v>564</v>
      </c>
      <c r="C174" s="21" t="s">
        <v>25</v>
      </c>
      <c r="D174" s="21" t="s">
        <v>26</v>
      </c>
      <c r="E174" s="22"/>
      <c r="F174" s="24" t="s">
        <v>565</v>
      </c>
      <c r="G174" s="26" t="s">
        <v>562</v>
      </c>
      <c r="H174" s="27">
        <v>1075000</v>
      </c>
      <c r="I174" s="28"/>
      <c r="J174" s="29"/>
      <c r="K174" s="30"/>
      <c r="L174" s="31"/>
      <c r="M174" s="22"/>
      <c r="N174" s="32"/>
      <c r="O174" s="32"/>
      <c r="P174" s="32"/>
      <c r="Q174" s="32"/>
      <c r="R174" s="32"/>
      <c r="S174" s="32"/>
      <c r="T174" s="34"/>
      <c r="U174" s="34"/>
      <c r="V174" s="36" t="str">
        <f t="shared" si="0"/>
        <v>100</v>
      </c>
      <c r="W174" s="39">
        <f>COUNTIF('52-60'!$V$2:$V206,V174)-1</f>
        <v>-1</v>
      </c>
      <c r="X174" s="40"/>
      <c r="Y174" s="40"/>
      <c r="Z174" s="40"/>
    </row>
    <row r="175" spans="1:26" ht="56.25">
      <c r="A175" s="17"/>
      <c r="B175" s="20" t="s">
        <v>569</v>
      </c>
      <c r="C175" s="21" t="s">
        <v>25</v>
      </c>
      <c r="D175" s="21" t="s">
        <v>26</v>
      </c>
      <c r="E175" s="22"/>
      <c r="F175" s="24" t="s">
        <v>570</v>
      </c>
      <c r="G175" s="26" t="s">
        <v>562</v>
      </c>
      <c r="H175" s="27">
        <v>1375000</v>
      </c>
      <c r="I175" s="28"/>
      <c r="J175" s="29"/>
      <c r="K175" s="30"/>
      <c r="L175" s="31"/>
      <c r="M175" s="22"/>
      <c r="N175" s="32"/>
      <c r="O175" s="32"/>
      <c r="P175" s="32"/>
      <c r="Q175" s="32"/>
      <c r="R175" s="32"/>
      <c r="S175" s="32"/>
      <c r="T175" s="34"/>
      <c r="U175" s="34"/>
      <c r="V175" s="36" t="str">
        <f t="shared" si="0"/>
        <v>100</v>
      </c>
      <c r="W175" s="39">
        <f>COUNTIF('52-60'!$V$2:$V206,V175)-1</f>
        <v>-1</v>
      </c>
      <c r="X175" s="40"/>
      <c r="Y175" s="40"/>
      <c r="Z175" s="40"/>
    </row>
    <row r="176" spans="1:26" ht="75">
      <c r="A176" s="17"/>
      <c r="B176" s="20" t="s">
        <v>572</v>
      </c>
      <c r="C176" s="21" t="s">
        <v>25</v>
      </c>
      <c r="D176" s="21" t="s">
        <v>26</v>
      </c>
      <c r="E176" s="22"/>
      <c r="F176" s="24" t="s">
        <v>574</v>
      </c>
      <c r="G176" s="26" t="s">
        <v>562</v>
      </c>
      <c r="H176" s="27">
        <v>1980000</v>
      </c>
      <c r="I176" s="28"/>
      <c r="J176" s="29"/>
      <c r="K176" s="30"/>
      <c r="L176" s="31"/>
      <c r="M176" s="22"/>
      <c r="N176" s="32"/>
      <c r="O176" s="32"/>
      <c r="P176" s="32"/>
      <c r="Q176" s="32"/>
      <c r="R176" s="32"/>
      <c r="S176" s="32"/>
      <c r="T176" s="34"/>
      <c r="U176" s="34"/>
      <c r="V176" s="36" t="str">
        <f t="shared" si="0"/>
        <v>100</v>
      </c>
      <c r="W176" s="39">
        <f>COUNTIF('52-60'!$V$2:$V206,V176)-1</f>
        <v>-1</v>
      </c>
      <c r="X176" s="40"/>
      <c r="Y176" s="40"/>
      <c r="Z176" s="40"/>
    </row>
    <row r="177" spans="1:26" ht="75">
      <c r="A177" s="17"/>
      <c r="B177" s="20" t="s">
        <v>575</v>
      </c>
      <c r="C177" s="21" t="s">
        <v>25</v>
      </c>
      <c r="D177" s="21" t="s">
        <v>26</v>
      </c>
      <c r="E177" s="22"/>
      <c r="F177" s="24" t="s">
        <v>576</v>
      </c>
      <c r="G177" s="26" t="s">
        <v>562</v>
      </c>
      <c r="H177" s="27">
        <v>1920000</v>
      </c>
      <c r="I177" s="28"/>
      <c r="J177" s="29"/>
      <c r="K177" s="30"/>
      <c r="L177" s="31"/>
      <c r="M177" s="22"/>
      <c r="N177" s="32"/>
      <c r="O177" s="32"/>
      <c r="P177" s="32"/>
      <c r="Q177" s="32"/>
      <c r="R177" s="32"/>
      <c r="S177" s="32"/>
      <c r="T177" s="34"/>
      <c r="U177" s="34"/>
      <c r="V177" s="36" t="str">
        <f t="shared" si="0"/>
        <v>100</v>
      </c>
      <c r="W177" s="39">
        <f>COUNTIF('52-60'!$V$2:$V206,V177)-1</f>
        <v>-1</v>
      </c>
      <c r="X177" s="40"/>
      <c r="Y177" s="40"/>
      <c r="Z177" s="40"/>
    </row>
    <row r="178" spans="1:26" ht="75">
      <c r="A178" s="17"/>
      <c r="B178" s="20" t="s">
        <v>579</v>
      </c>
      <c r="C178" s="21" t="s">
        <v>25</v>
      </c>
      <c r="D178" s="21" t="s">
        <v>26</v>
      </c>
      <c r="E178" s="22"/>
      <c r="F178" s="24" t="s">
        <v>580</v>
      </c>
      <c r="G178" s="26" t="s">
        <v>562</v>
      </c>
      <c r="H178" s="27">
        <v>2500000</v>
      </c>
      <c r="I178" s="28"/>
      <c r="J178" s="29"/>
      <c r="K178" s="30"/>
      <c r="L178" s="31"/>
      <c r="M178" s="22"/>
      <c r="N178" s="32"/>
      <c r="O178" s="32"/>
      <c r="P178" s="32"/>
      <c r="Q178" s="32"/>
      <c r="R178" s="32"/>
      <c r="S178" s="32"/>
      <c r="T178" s="34"/>
      <c r="U178" s="34"/>
      <c r="V178" s="36" t="str">
        <f t="shared" si="0"/>
        <v>100</v>
      </c>
      <c r="W178" s="39">
        <f>COUNTIF('52-60'!$V$2:$V206,V178)-1</f>
        <v>-1</v>
      </c>
      <c r="X178" s="40"/>
      <c r="Y178" s="40"/>
      <c r="Z178" s="40"/>
    </row>
    <row r="179" spans="1:26" ht="37.5">
      <c r="A179" s="17"/>
      <c r="B179" s="20" t="s">
        <v>581</v>
      </c>
      <c r="C179" s="21" t="s">
        <v>25</v>
      </c>
      <c r="D179" s="21" t="s">
        <v>26</v>
      </c>
      <c r="E179" s="22"/>
      <c r="F179" s="24" t="s">
        <v>582</v>
      </c>
      <c r="G179" s="26" t="s">
        <v>562</v>
      </c>
      <c r="H179" s="27">
        <v>34000</v>
      </c>
      <c r="I179" s="28"/>
      <c r="J179" s="29"/>
      <c r="K179" s="30"/>
      <c r="L179" s="31"/>
      <c r="M179" s="22"/>
      <c r="N179" s="32"/>
      <c r="O179" s="32"/>
      <c r="P179" s="32"/>
      <c r="Q179" s="32"/>
      <c r="R179" s="32"/>
      <c r="S179" s="32"/>
      <c r="T179" s="34"/>
      <c r="U179" s="34"/>
      <c r="V179" s="36" t="str">
        <f t="shared" si="0"/>
        <v>100</v>
      </c>
      <c r="W179" s="39">
        <f>COUNTIF('52-60'!$V$2:$V206,V179)-1</f>
        <v>-1</v>
      </c>
      <c r="X179" s="40"/>
      <c r="Y179" s="40"/>
      <c r="Z179" s="40"/>
    </row>
    <row r="180" spans="1:26" ht="37.5">
      <c r="A180" s="17"/>
      <c r="B180" s="20" t="s">
        <v>585</v>
      </c>
      <c r="C180" s="21" t="s">
        <v>25</v>
      </c>
      <c r="D180" s="21" t="s">
        <v>26</v>
      </c>
      <c r="E180" s="22"/>
      <c r="F180" s="24" t="s">
        <v>586</v>
      </c>
      <c r="G180" s="26" t="s">
        <v>562</v>
      </c>
      <c r="H180" s="27">
        <v>16000</v>
      </c>
      <c r="I180" s="28"/>
      <c r="J180" s="29"/>
      <c r="K180" s="30"/>
      <c r="L180" s="31"/>
      <c r="M180" s="22"/>
      <c r="N180" s="32"/>
      <c r="O180" s="32"/>
      <c r="P180" s="32"/>
      <c r="Q180" s="32"/>
      <c r="R180" s="32"/>
      <c r="S180" s="32"/>
      <c r="T180" s="34"/>
      <c r="U180" s="34"/>
      <c r="V180" s="36" t="str">
        <f t="shared" si="0"/>
        <v>100</v>
      </c>
      <c r="W180" s="39">
        <f>COUNTIF('52-60'!$V$2:$V206,V180)-1</f>
        <v>-1</v>
      </c>
      <c r="X180" s="40"/>
      <c r="Y180" s="40"/>
      <c r="Z180" s="40"/>
    </row>
    <row r="181" spans="1:26" ht="93.75">
      <c r="A181" s="17"/>
      <c r="B181" s="20" t="s">
        <v>587</v>
      </c>
      <c r="C181" s="21" t="s">
        <v>25</v>
      </c>
      <c r="D181" s="21" t="s">
        <v>26</v>
      </c>
      <c r="E181" s="22"/>
      <c r="F181" s="24" t="s">
        <v>588</v>
      </c>
      <c r="G181" s="26" t="s">
        <v>28</v>
      </c>
      <c r="H181" s="27">
        <v>2799000</v>
      </c>
      <c r="I181" s="28"/>
      <c r="J181" s="54" t="str">
        <f t="shared" ref="J181:J191" si="5">HYPERLINK("https://drive.google.com/open?id=1uRKauPNhvZ-Kx2o2zLSRMFbmPZrJaKkb","จากบัญชีของ สน.งปฯ ธ.ค.61")</f>
        <v>จากบัญชีของ สน.งปฯ ธ.ค.61</v>
      </c>
      <c r="K181" s="30"/>
      <c r="L181" s="31"/>
      <c r="M181" s="22"/>
      <c r="N181" s="32"/>
      <c r="O181" s="32"/>
      <c r="P181" s="32"/>
      <c r="Q181" s="32"/>
      <c r="R181" s="32"/>
      <c r="S181" s="32"/>
      <c r="T181" s="34"/>
      <c r="U181" s="34"/>
      <c r="V181" s="36" t="str">
        <f t="shared" si="0"/>
        <v>100</v>
      </c>
      <c r="W181" s="39">
        <f>COUNTIF('52-60'!$V$2:$V206,V181)-1</f>
        <v>-1</v>
      </c>
      <c r="X181" s="40"/>
      <c r="Y181" s="40"/>
      <c r="Z181" s="40"/>
    </row>
    <row r="182" spans="1:26" ht="93.75">
      <c r="A182" s="17"/>
      <c r="B182" s="20" t="s">
        <v>592</v>
      </c>
      <c r="C182" s="21" t="s">
        <v>25</v>
      </c>
      <c r="D182" s="21" t="s">
        <v>26</v>
      </c>
      <c r="E182" s="22"/>
      <c r="F182" s="24" t="s">
        <v>593</v>
      </c>
      <c r="G182" s="26" t="s">
        <v>28</v>
      </c>
      <c r="H182" s="27">
        <v>4059000</v>
      </c>
      <c r="I182" s="28"/>
      <c r="J182" s="54" t="str">
        <f t="shared" si="5"/>
        <v>จากบัญชีของ สน.งปฯ ธ.ค.61</v>
      </c>
      <c r="K182" s="30"/>
      <c r="L182" s="31"/>
      <c r="M182" s="22"/>
      <c r="N182" s="32"/>
      <c r="O182" s="32"/>
      <c r="P182" s="32"/>
      <c r="Q182" s="32"/>
      <c r="R182" s="32"/>
      <c r="S182" s="32"/>
      <c r="T182" s="34"/>
      <c r="U182" s="34"/>
      <c r="V182" s="36" t="str">
        <f t="shared" si="0"/>
        <v>100</v>
      </c>
      <c r="W182" s="39">
        <f>COUNTIF('52-60'!$V$2:$V206,V182)-1</f>
        <v>-1</v>
      </c>
      <c r="X182" s="40"/>
      <c r="Y182" s="40"/>
      <c r="Z182" s="40"/>
    </row>
    <row r="183" spans="1:26" ht="75">
      <c r="A183" s="17"/>
      <c r="B183" s="20" t="s">
        <v>596</v>
      </c>
      <c r="C183" s="21" t="s">
        <v>25</v>
      </c>
      <c r="D183" s="21" t="s">
        <v>26</v>
      </c>
      <c r="E183" s="22"/>
      <c r="F183" s="24" t="s">
        <v>597</v>
      </c>
      <c r="G183" s="26" t="s">
        <v>28</v>
      </c>
      <c r="H183" s="27">
        <v>1263000</v>
      </c>
      <c r="I183" s="28"/>
      <c r="J183" s="54" t="str">
        <f t="shared" si="5"/>
        <v>จากบัญชีของ สน.งปฯ ธ.ค.61</v>
      </c>
      <c r="K183" s="30"/>
      <c r="L183" s="31"/>
      <c r="M183" s="22"/>
      <c r="N183" s="32"/>
      <c r="O183" s="32"/>
      <c r="P183" s="32"/>
      <c r="Q183" s="32"/>
      <c r="R183" s="32"/>
      <c r="S183" s="32"/>
      <c r="T183" s="34"/>
      <c r="U183" s="34"/>
      <c r="V183" s="36" t="str">
        <f t="shared" si="0"/>
        <v>100</v>
      </c>
      <c r="W183" s="39">
        <f>COUNTIF('52-60'!$V$2:$V206,V183)-1</f>
        <v>-1</v>
      </c>
      <c r="X183" s="40"/>
      <c r="Y183" s="40"/>
      <c r="Z183" s="40"/>
    </row>
    <row r="184" spans="1:26" ht="131.25">
      <c r="A184" s="17"/>
      <c r="B184" s="20" t="s">
        <v>602</v>
      </c>
      <c r="C184" s="21" t="s">
        <v>25</v>
      </c>
      <c r="D184" s="21" t="s">
        <v>26</v>
      </c>
      <c r="E184" s="22"/>
      <c r="F184" s="24" t="s">
        <v>603</v>
      </c>
      <c r="G184" s="26" t="s">
        <v>28</v>
      </c>
      <c r="H184" s="27">
        <v>3761000</v>
      </c>
      <c r="I184" s="28"/>
      <c r="J184" s="54" t="str">
        <f t="shared" si="5"/>
        <v>จากบัญชีของ สน.งปฯ ธ.ค.61</v>
      </c>
      <c r="K184" s="30"/>
      <c r="L184" s="31"/>
      <c r="M184" s="22"/>
      <c r="N184" s="32"/>
      <c r="O184" s="32"/>
      <c r="P184" s="32"/>
      <c r="Q184" s="32"/>
      <c r="R184" s="32"/>
      <c r="S184" s="32"/>
      <c r="T184" s="34"/>
      <c r="U184" s="34"/>
      <c r="V184" s="36" t="str">
        <f t="shared" si="0"/>
        <v>100</v>
      </c>
      <c r="W184" s="39">
        <f>COUNTIF('52-60'!$V$2:$V206,V184)-1</f>
        <v>-1</v>
      </c>
      <c r="X184" s="40"/>
      <c r="Y184" s="40"/>
      <c r="Z184" s="40"/>
    </row>
    <row r="185" spans="1:26" ht="19.5" customHeight="1">
      <c r="A185" s="17"/>
      <c r="B185" s="20" t="s">
        <v>604</v>
      </c>
      <c r="C185" s="21" t="s">
        <v>25</v>
      </c>
      <c r="D185" s="21" t="s">
        <v>26</v>
      </c>
      <c r="E185" s="22"/>
      <c r="F185" s="24" t="s">
        <v>605</v>
      </c>
      <c r="G185" s="26" t="s">
        <v>28</v>
      </c>
      <c r="H185" s="27">
        <v>1676000</v>
      </c>
      <c r="I185" s="28"/>
      <c r="J185" s="54" t="str">
        <f t="shared" si="5"/>
        <v>จากบัญชีของ สน.งปฯ ธ.ค.61</v>
      </c>
      <c r="K185" s="30"/>
      <c r="L185" s="31"/>
      <c r="M185" s="22"/>
      <c r="N185" s="32"/>
      <c r="O185" s="32"/>
      <c r="P185" s="32"/>
      <c r="Q185" s="32"/>
      <c r="R185" s="32"/>
      <c r="S185" s="32"/>
      <c r="T185" s="34"/>
      <c r="U185" s="34"/>
      <c r="V185" s="36" t="str">
        <f t="shared" si="0"/>
        <v>100</v>
      </c>
      <c r="W185" s="39">
        <f>COUNTIF('52-60'!$V$2:$V206,V185)-1</f>
        <v>-1</v>
      </c>
      <c r="X185" s="40"/>
      <c r="Y185" s="40"/>
      <c r="Z185" s="40"/>
    </row>
    <row r="186" spans="1:26" ht="56.25">
      <c r="A186" s="17"/>
      <c r="B186" s="20" t="s">
        <v>610</v>
      </c>
      <c r="C186" s="21" t="s">
        <v>25</v>
      </c>
      <c r="D186" s="21" t="s">
        <v>26</v>
      </c>
      <c r="E186" s="22"/>
      <c r="F186" s="24" t="s">
        <v>611</v>
      </c>
      <c r="G186" s="26" t="s">
        <v>28</v>
      </c>
      <c r="H186" s="27">
        <v>1000000</v>
      </c>
      <c r="I186" s="28"/>
      <c r="J186" s="54" t="str">
        <f t="shared" si="5"/>
        <v>จากบัญชีของ สน.งปฯ ธ.ค.61</v>
      </c>
      <c r="K186" s="30"/>
      <c r="L186" s="31"/>
      <c r="M186" s="22"/>
      <c r="N186" s="32"/>
      <c r="O186" s="32"/>
      <c r="P186" s="32"/>
      <c r="Q186" s="32"/>
      <c r="R186" s="32"/>
      <c r="S186" s="32"/>
      <c r="T186" s="34"/>
      <c r="U186" s="34"/>
      <c r="V186" s="36" t="str">
        <f t="shared" si="0"/>
        <v>100</v>
      </c>
      <c r="W186" s="39">
        <f>COUNTIF('52-60'!$V$2:$V206,V186)-1</f>
        <v>-1</v>
      </c>
      <c r="X186" s="40"/>
      <c r="Y186" s="40"/>
      <c r="Z186" s="40"/>
    </row>
    <row r="187" spans="1:26" ht="56.25">
      <c r="A187" s="17"/>
      <c r="B187" s="20" t="s">
        <v>612</v>
      </c>
      <c r="C187" s="21" t="s">
        <v>25</v>
      </c>
      <c r="D187" s="21" t="s">
        <v>26</v>
      </c>
      <c r="E187" s="22"/>
      <c r="F187" s="24" t="s">
        <v>615</v>
      </c>
      <c r="G187" s="26" t="s">
        <v>28</v>
      </c>
      <c r="H187" s="27">
        <v>2000000</v>
      </c>
      <c r="I187" s="28"/>
      <c r="J187" s="54" t="str">
        <f t="shared" si="5"/>
        <v>จากบัญชีของ สน.งปฯ ธ.ค.61</v>
      </c>
      <c r="K187" s="30"/>
      <c r="L187" s="31"/>
      <c r="M187" s="22"/>
      <c r="N187" s="32"/>
      <c r="O187" s="32"/>
      <c r="P187" s="32"/>
      <c r="Q187" s="32"/>
      <c r="R187" s="32"/>
      <c r="S187" s="32"/>
      <c r="T187" s="34"/>
      <c r="U187" s="34"/>
      <c r="V187" s="36" t="str">
        <f t="shared" si="0"/>
        <v>100</v>
      </c>
      <c r="W187" s="39">
        <f>COUNTIF('52-60'!$V$2:$V206,V187)-1</f>
        <v>-1</v>
      </c>
      <c r="X187" s="40"/>
      <c r="Y187" s="40"/>
      <c r="Z187" s="40"/>
    </row>
    <row r="188" spans="1:26" ht="75">
      <c r="A188" s="17"/>
      <c r="B188" s="20" t="s">
        <v>616</v>
      </c>
      <c r="C188" s="21" t="s">
        <v>25</v>
      </c>
      <c r="D188" s="21" t="s">
        <v>26</v>
      </c>
      <c r="E188" s="22"/>
      <c r="F188" s="24" t="s">
        <v>617</v>
      </c>
      <c r="G188" s="26" t="s">
        <v>28</v>
      </c>
      <c r="H188" s="27">
        <v>1280000</v>
      </c>
      <c r="I188" s="28"/>
      <c r="J188" s="54" t="str">
        <f t="shared" si="5"/>
        <v>จากบัญชีของ สน.งปฯ ธ.ค.61</v>
      </c>
      <c r="K188" s="30"/>
      <c r="L188" s="31"/>
      <c r="M188" s="22"/>
      <c r="N188" s="32"/>
      <c r="O188" s="32"/>
      <c r="P188" s="32"/>
      <c r="Q188" s="32"/>
      <c r="R188" s="32"/>
      <c r="S188" s="32"/>
      <c r="T188" s="34"/>
      <c r="U188" s="34"/>
      <c r="V188" s="36" t="str">
        <f t="shared" si="0"/>
        <v>100</v>
      </c>
      <c r="W188" s="39">
        <f>COUNTIF('52-60'!$V$2:$V206,V188)-1</f>
        <v>-1</v>
      </c>
      <c r="X188" s="40"/>
      <c r="Y188" s="40"/>
      <c r="Z188" s="40"/>
    </row>
    <row r="189" spans="1:26" ht="75">
      <c r="A189" s="17"/>
      <c r="B189" s="20" t="s">
        <v>622</v>
      </c>
      <c r="C189" s="21" t="s">
        <v>25</v>
      </c>
      <c r="D189" s="21" t="s">
        <v>26</v>
      </c>
      <c r="E189" s="22"/>
      <c r="F189" s="24" t="s">
        <v>623</v>
      </c>
      <c r="G189" s="26" t="s">
        <v>28</v>
      </c>
      <c r="H189" s="27">
        <v>1483000</v>
      </c>
      <c r="I189" s="28"/>
      <c r="J189" s="54" t="str">
        <f t="shared" si="5"/>
        <v>จากบัญชีของ สน.งปฯ ธ.ค.61</v>
      </c>
      <c r="K189" s="30"/>
      <c r="L189" s="31"/>
      <c r="M189" s="22"/>
      <c r="N189" s="32"/>
      <c r="O189" s="32"/>
      <c r="P189" s="32"/>
      <c r="Q189" s="32"/>
      <c r="R189" s="32"/>
      <c r="S189" s="32"/>
      <c r="T189" s="34"/>
      <c r="U189" s="34"/>
      <c r="V189" s="36" t="str">
        <f t="shared" si="0"/>
        <v>100</v>
      </c>
      <c r="W189" s="39">
        <f>COUNTIF('52-60'!$V$2:$V206,V189)-1</f>
        <v>-1</v>
      </c>
      <c r="X189" s="40"/>
      <c r="Y189" s="40"/>
      <c r="Z189" s="40"/>
    </row>
    <row r="190" spans="1:26" ht="56.25">
      <c r="A190" s="17"/>
      <c r="B190" s="20" t="s">
        <v>627</v>
      </c>
      <c r="C190" s="21" t="s">
        <v>25</v>
      </c>
      <c r="D190" s="21" t="s">
        <v>26</v>
      </c>
      <c r="E190" s="22"/>
      <c r="F190" s="24" t="s">
        <v>629</v>
      </c>
      <c r="G190" s="26" t="s">
        <v>28</v>
      </c>
      <c r="H190" s="27">
        <v>1290000</v>
      </c>
      <c r="I190" s="28"/>
      <c r="J190" s="54" t="str">
        <f t="shared" si="5"/>
        <v>จากบัญชีของ สน.งปฯ ธ.ค.61</v>
      </c>
      <c r="K190" s="30"/>
      <c r="L190" s="31"/>
      <c r="M190" s="22"/>
      <c r="N190" s="32"/>
      <c r="O190" s="32"/>
      <c r="P190" s="32"/>
      <c r="Q190" s="32"/>
      <c r="R190" s="32"/>
      <c r="S190" s="32"/>
      <c r="T190" s="34"/>
      <c r="U190" s="34"/>
      <c r="V190" s="36" t="str">
        <f t="shared" si="0"/>
        <v>100</v>
      </c>
      <c r="W190" s="39">
        <f>COUNTIF('52-60'!$V$2:$V206,V190)-1</f>
        <v>-1</v>
      </c>
      <c r="X190" s="40"/>
      <c r="Y190" s="40"/>
      <c r="Z190" s="40"/>
    </row>
    <row r="191" spans="1:26" ht="56.25">
      <c r="A191" s="17"/>
      <c r="B191" s="20" t="s">
        <v>632</v>
      </c>
      <c r="C191" s="21" t="s">
        <v>25</v>
      </c>
      <c r="D191" s="21" t="s">
        <v>26</v>
      </c>
      <c r="E191" s="22"/>
      <c r="F191" s="24" t="s">
        <v>633</v>
      </c>
      <c r="G191" s="26" t="s">
        <v>28</v>
      </c>
      <c r="H191" s="27">
        <v>1570000</v>
      </c>
      <c r="I191" s="28"/>
      <c r="J191" s="54" t="str">
        <f t="shared" si="5"/>
        <v>จากบัญชีของ สน.งปฯ ธ.ค.61</v>
      </c>
      <c r="K191" s="30"/>
      <c r="L191" s="31"/>
      <c r="M191" s="22"/>
      <c r="N191" s="32"/>
      <c r="O191" s="32"/>
      <c r="P191" s="32"/>
      <c r="Q191" s="32"/>
      <c r="R191" s="32"/>
      <c r="S191" s="32"/>
      <c r="T191" s="34"/>
      <c r="U191" s="34"/>
      <c r="V191" s="36" t="str">
        <f t="shared" si="0"/>
        <v>100</v>
      </c>
      <c r="W191" s="39">
        <f>COUNTIF('52-60'!$V$2:$V206,V191)-1</f>
        <v>-1</v>
      </c>
      <c r="X191" s="40"/>
      <c r="Y191" s="40"/>
      <c r="Z191" s="40"/>
    </row>
    <row r="192" spans="1:26" ht="18.75">
      <c r="A192" s="17"/>
      <c r="B192" s="20" t="s">
        <v>639</v>
      </c>
      <c r="C192" s="21" t="s">
        <v>25</v>
      </c>
      <c r="D192" s="21" t="s">
        <v>26</v>
      </c>
      <c r="E192" s="22"/>
      <c r="F192" s="24" t="s">
        <v>640</v>
      </c>
      <c r="G192" s="26" t="s">
        <v>78</v>
      </c>
      <c r="H192" s="27">
        <v>13000</v>
      </c>
      <c r="I192" s="28"/>
      <c r="J192" s="29"/>
      <c r="K192" s="30"/>
      <c r="L192" s="31"/>
      <c r="M192" s="22"/>
      <c r="N192" s="32"/>
      <c r="O192" s="32"/>
      <c r="P192" s="32"/>
      <c r="Q192" s="32"/>
      <c r="R192" s="32"/>
      <c r="S192" s="32"/>
      <c r="T192" s="34"/>
      <c r="U192" s="34"/>
      <c r="V192" s="36" t="str">
        <f t="shared" si="0"/>
        <v>100</v>
      </c>
      <c r="W192" s="39">
        <f>COUNTIF('52-60'!$V$2:$V206,V192)-1</f>
        <v>-1</v>
      </c>
      <c r="X192" s="40"/>
      <c r="Y192" s="40"/>
      <c r="Z192" s="40"/>
    </row>
    <row r="193" spans="1:26" ht="37.5">
      <c r="A193" s="17"/>
      <c r="B193" s="20" t="s">
        <v>643</v>
      </c>
      <c r="C193" s="21" t="s">
        <v>25</v>
      </c>
      <c r="D193" s="21" t="s">
        <v>26</v>
      </c>
      <c r="E193" s="22"/>
      <c r="F193" s="24" t="s">
        <v>644</v>
      </c>
      <c r="G193" s="26" t="s">
        <v>48</v>
      </c>
      <c r="H193" s="27">
        <v>145000</v>
      </c>
      <c r="I193" s="28"/>
      <c r="J193" s="29"/>
      <c r="K193" s="30"/>
      <c r="L193" s="31"/>
      <c r="M193" s="22"/>
      <c r="N193" s="32"/>
      <c r="O193" s="32"/>
      <c r="P193" s="32"/>
      <c r="Q193" s="32"/>
      <c r="R193" s="32"/>
      <c r="S193" s="32"/>
      <c r="T193" s="34"/>
      <c r="U193" s="34"/>
      <c r="V193" s="36" t="str">
        <f t="shared" si="0"/>
        <v>100</v>
      </c>
      <c r="W193" s="39">
        <f>COUNTIF('52-60'!$V$2:$V206,V193)-1</f>
        <v>-1</v>
      </c>
      <c r="X193" s="40"/>
      <c r="Y193" s="40"/>
      <c r="Z193" s="40"/>
    </row>
    <row r="194" spans="1:26" ht="18.75">
      <c r="A194" s="17"/>
      <c r="B194" s="20" t="s">
        <v>645</v>
      </c>
      <c r="C194" s="21" t="s">
        <v>25</v>
      </c>
      <c r="D194" s="21" t="s">
        <v>26</v>
      </c>
      <c r="E194" s="22"/>
      <c r="F194" s="24" t="s">
        <v>646</v>
      </c>
      <c r="G194" s="26" t="s">
        <v>48</v>
      </c>
      <c r="H194" s="27">
        <v>16000</v>
      </c>
      <c r="I194" s="28"/>
      <c r="J194" s="29"/>
      <c r="K194" s="30"/>
      <c r="L194" s="31"/>
      <c r="M194" s="22"/>
      <c r="N194" s="32"/>
      <c r="O194" s="32"/>
      <c r="P194" s="32"/>
      <c r="Q194" s="32"/>
      <c r="R194" s="32"/>
      <c r="S194" s="32"/>
      <c r="T194" s="34"/>
      <c r="U194" s="34"/>
      <c r="V194" s="36" t="str">
        <f t="shared" si="0"/>
        <v>100</v>
      </c>
      <c r="W194" s="39">
        <f>COUNTIF('52-60'!$V$2:$V206,V194)-1</f>
        <v>-1</v>
      </c>
      <c r="X194" s="40"/>
      <c r="Y194" s="40"/>
      <c r="Z194" s="40"/>
    </row>
    <row r="195" spans="1:26" ht="37.5">
      <c r="A195" s="17"/>
      <c r="B195" s="20" t="s">
        <v>649</v>
      </c>
      <c r="C195" s="21" t="s">
        <v>25</v>
      </c>
      <c r="D195" s="21" t="s">
        <v>26</v>
      </c>
      <c r="E195" s="22"/>
      <c r="F195" s="24" t="s">
        <v>650</v>
      </c>
      <c r="G195" s="26" t="s">
        <v>48</v>
      </c>
      <c r="H195" s="27">
        <v>110000</v>
      </c>
      <c r="I195" s="28"/>
      <c r="J195" s="29"/>
      <c r="K195" s="30"/>
      <c r="L195" s="31"/>
      <c r="M195" s="22"/>
      <c r="N195" s="32"/>
      <c r="O195" s="32"/>
      <c r="P195" s="32"/>
      <c r="Q195" s="32"/>
      <c r="R195" s="32"/>
      <c r="S195" s="32"/>
      <c r="T195" s="34"/>
      <c r="U195" s="34"/>
      <c r="V195" s="36" t="str">
        <f t="shared" si="0"/>
        <v>100</v>
      </c>
      <c r="W195" s="39">
        <f>COUNTIF('52-60'!$V$2:$V206,V195)-1</f>
        <v>-1</v>
      </c>
      <c r="X195" s="40"/>
      <c r="Y195" s="40"/>
      <c r="Z195" s="40"/>
    </row>
    <row r="196" spans="1:26" ht="37.5">
      <c r="A196" s="17"/>
      <c r="B196" s="20" t="s">
        <v>651</v>
      </c>
      <c r="C196" s="21" t="s">
        <v>25</v>
      </c>
      <c r="D196" s="21" t="s">
        <v>26</v>
      </c>
      <c r="E196" s="22"/>
      <c r="F196" s="24" t="s">
        <v>652</v>
      </c>
      <c r="G196" s="26" t="s">
        <v>48</v>
      </c>
      <c r="H196" s="27">
        <v>207000</v>
      </c>
      <c r="I196" s="28"/>
      <c r="J196" s="29"/>
      <c r="K196" s="30"/>
      <c r="L196" s="31"/>
      <c r="M196" s="22"/>
      <c r="N196" s="32"/>
      <c r="O196" s="32"/>
      <c r="P196" s="32"/>
      <c r="Q196" s="32"/>
      <c r="R196" s="32"/>
      <c r="S196" s="32"/>
      <c r="T196" s="34"/>
      <c r="U196" s="34"/>
      <c r="V196" s="36" t="str">
        <f t="shared" si="0"/>
        <v>100</v>
      </c>
      <c r="W196" s="39">
        <f>COUNTIF('52-60'!$V$2:$V206,V196)-1</f>
        <v>-1</v>
      </c>
      <c r="X196" s="40"/>
      <c r="Y196" s="40"/>
      <c r="Z196" s="40"/>
    </row>
    <row r="197" spans="1:26" ht="37.5">
      <c r="A197" s="17"/>
      <c r="B197" s="20" t="s">
        <v>655</v>
      </c>
      <c r="C197" s="21" t="s">
        <v>25</v>
      </c>
      <c r="D197" s="21" t="s">
        <v>26</v>
      </c>
      <c r="E197" s="22"/>
      <c r="F197" s="24" t="s">
        <v>656</v>
      </c>
      <c r="G197" s="26" t="s">
        <v>48</v>
      </c>
      <c r="H197" s="27">
        <v>420000</v>
      </c>
      <c r="I197" s="28"/>
      <c r="J197" s="29"/>
      <c r="K197" s="30"/>
      <c r="L197" s="31"/>
      <c r="M197" s="22"/>
      <c r="N197" s="32"/>
      <c r="O197" s="32"/>
      <c r="P197" s="32"/>
      <c r="Q197" s="32"/>
      <c r="R197" s="32"/>
      <c r="S197" s="32"/>
      <c r="T197" s="34"/>
      <c r="U197" s="34"/>
      <c r="V197" s="36" t="str">
        <f t="shared" si="0"/>
        <v>100</v>
      </c>
      <c r="W197" s="39">
        <f>COUNTIF('52-60'!$V$2:$V206,V197)-1</f>
        <v>-1</v>
      </c>
      <c r="X197" s="40"/>
      <c r="Y197" s="40"/>
      <c r="Z197" s="40"/>
    </row>
    <row r="198" spans="1:26" ht="37.5">
      <c r="A198" s="17"/>
      <c r="B198" s="20" t="s">
        <v>659</v>
      </c>
      <c r="C198" s="21" t="s">
        <v>25</v>
      </c>
      <c r="D198" s="21" t="s">
        <v>26</v>
      </c>
      <c r="E198" s="22"/>
      <c r="F198" s="24" t="s">
        <v>660</v>
      </c>
      <c r="G198" s="26" t="s">
        <v>48</v>
      </c>
      <c r="H198" s="27">
        <v>380000</v>
      </c>
      <c r="I198" s="28"/>
      <c r="J198" s="29"/>
      <c r="K198" s="30"/>
      <c r="L198" s="31"/>
      <c r="M198" s="22"/>
      <c r="N198" s="32"/>
      <c r="O198" s="32"/>
      <c r="P198" s="32"/>
      <c r="Q198" s="32"/>
      <c r="R198" s="32"/>
      <c r="S198" s="32"/>
      <c r="T198" s="34"/>
      <c r="U198" s="34"/>
      <c r="V198" s="36" t="str">
        <f t="shared" si="0"/>
        <v>100</v>
      </c>
      <c r="W198" s="39">
        <f>COUNTIF('52-60'!$V$2:$V206,V198)-1</f>
        <v>-1</v>
      </c>
      <c r="X198" s="40"/>
      <c r="Y198" s="40"/>
      <c r="Z198" s="40"/>
    </row>
    <row r="199" spans="1:26" ht="37.5">
      <c r="A199" s="17"/>
      <c r="B199" s="20" t="s">
        <v>661</v>
      </c>
      <c r="C199" s="21" t="s">
        <v>25</v>
      </c>
      <c r="D199" s="21" t="s">
        <v>26</v>
      </c>
      <c r="E199" s="22"/>
      <c r="F199" s="24" t="s">
        <v>662</v>
      </c>
      <c r="G199" s="26" t="s">
        <v>48</v>
      </c>
      <c r="H199" s="27">
        <v>460000</v>
      </c>
      <c r="I199" s="28"/>
      <c r="J199" s="29"/>
      <c r="K199" s="30"/>
      <c r="L199" s="31"/>
      <c r="M199" s="22"/>
      <c r="N199" s="32"/>
      <c r="O199" s="32"/>
      <c r="P199" s="32"/>
      <c r="Q199" s="32"/>
      <c r="R199" s="32"/>
      <c r="S199" s="32"/>
      <c r="T199" s="34"/>
      <c r="U199" s="34"/>
      <c r="V199" s="36" t="str">
        <f t="shared" si="0"/>
        <v>100</v>
      </c>
      <c r="W199" s="39">
        <f>COUNTIF('52-60'!$V$2:$V206,V199)-1</f>
        <v>-1</v>
      </c>
      <c r="X199" s="40"/>
      <c r="Y199" s="40"/>
      <c r="Z199" s="40"/>
    </row>
  </sheetData>
  <autoFilter ref="A1:Z202" xr:uid="{00000000-0009-0000-0000-000007000000}"/>
  <conditionalFormatting sqref="T199:U202">
    <cfRule type="cellIs" dxfId="222" priority="13" operator="greaterThanOrEqual">
      <formula>2561</formula>
    </cfRule>
  </conditionalFormatting>
  <conditionalFormatting sqref="N199:S202">
    <cfRule type="cellIs" dxfId="221" priority="14" operator="equal">
      <formula>1</formula>
    </cfRule>
  </conditionalFormatting>
  <conditionalFormatting sqref="H199">
    <cfRule type="containsBlanks" dxfId="220" priority="15">
      <formula>LEN(TRIM(H199))=0</formula>
    </cfRule>
  </conditionalFormatting>
  <conditionalFormatting sqref="G199">
    <cfRule type="containsBlanks" dxfId="219" priority="16">
      <formula>LEN(TRIM(G199))=0</formula>
    </cfRule>
  </conditionalFormatting>
  <conditionalFormatting sqref="A199:A202">
    <cfRule type="notContainsBlanks" dxfId="218" priority="17">
      <formula>LEN(TRIM(A199))&gt;0</formula>
    </cfRule>
  </conditionalFormatting>
  <conditionalFormatting sqref="A199:A202">
    <cfRule type="cellIs" dxfId="217" priority="18" operator="equal">
      <formula>"อยู่ระหว่างการพิจารณา คุณลักษณะฯ"</formula>
    </cfRule>
  </conditionalFormatting>
  <conditionalFormatting sqref="A199:A202">
    <cfRule type="containsText" dxfId="216" priority="19" operator="containsText" text="ผ่านการพิจารณา รอ จก.ชย.ทอ.ลงนาม">
      <formula>NOT(ISERROR(SEARCH(("ผ่านการพิจารณา รอ จก.ชย.ทอ.ลงนาม"),(A199))))</formula>
    </cfRule>
  </conditionalFormatting>
  <conditionalFormatting sqref="A199:A202">
    <cfRule type="containsText" dxfId="215" priority="20" operator="containsText" text="รอการขอยกเลิกคุณลักษณะ">
      <formula>NOT(ISERROR(SEARCH(("รอการขอยกเลิกคุณลักษณะ"),(A199))))</formula>
    </cfRule>
  </conditionalFormatting>
  <conditionalFormatting sqref="A199:A202">
    <cfRule type="containsText" dxfId="214" priority="21" operator="containsText" text="ผ่านการพิจารณาคำแนะนำ รอ จก.ชย.ทอ.ลงนาม">
      <formula>NOT(ISERROR(SEARCH(("ผ่านการพิจารณาคำแนะนำ รอ จก.ชย.ทอ.ลงนาม"),(A199))))</formula>
    </cfRule>
  </conditionalFormatting>
  <conditionalFormatting sqref="A199:A202">
    <cfRule type="beginsWith" dxfId="213" priority="22" operator="beginsWith" text="เอกสารไม่พร้อม">
      <formula>LEFT((A199),LEN("เอกสารไม่พร้อม"))=("เอกสารไม่พร้อม")</formula>
    </cfRule>
  </conditionalFormatting>
  <conditionalFormatting sqref="A199:A202">
    <cfRule type="notContainsBlanks" dxfId="212" priority="23">
      <formula>LEN(TRIM(A199))&gt;0</formula>
    </cfRule>
  </conditionalFormatting>
  <conditionalFormatting sqref="A199:A202">
    <cfRule type="notContainsBlanks" dxfId="211" priority="24">
      <formula>LEN(TRIM(A199))&gt;0</formula>
    </cfRule>
  </conditionalFormatting>
  <conditionalFormatting sqref="T164:U186 T188:U191 T193:U195 T197:U198">
    <cfRule type="cellIs" dxfId="210" priority="25" operator="greaterThanOrEqual">
      <formula>2561</formula>
    </cfRule>
  </conditionalFormatting>
  <conditionalFormatting sqref="Q164:S186 N164:P186 N188:S190 N193:S195 N197:S198">
    <cfRule type="cellIs" dxfId="209" priority="26" operator="equal">
      <formula>1</formula>
    </cfRule>
  </conditionalFormatting>
  <conditionalFormatting sqref="N164:S168">
    <cfRule type="cellIs" dxfId="208" priority="27" operator="equal">
      <formula>"พร้อม"</formula>
    </cfRule>
  </conditionalFormatting>
  <conditionalFormatting sqref="H164:H184 H187:H188 H192:H193 H196">
    <cfRule type="containsBlanks" dxfId="207" priority="28">
      <formula>LEN(TRIM(H164))=0</formula>
    </cfRule>
  </conditionalFormatting>
  <conditionalFormatting sqref="G164:G184 G187:G188 G192:G193 G196">
    <cfRule type="containsBlanks" dxfId="206" priority="29">
      <formula>LEN(TRIM(G164))=0</formula>
    </cfRule>
  </conditionalFormatting>
  <conditionalFormatting sqref="A164:A198">
    <cfRule type="notContainsBlanks" dxfId="205" priority="30">
      <formula>LEN(TRIM(A164))&gt;0</formula>
    </cfRule>
  </conditionalFormatting>
  <conditionalFormatting sqref="A164:A198">
    <cfRule type="cellIs" dxfId="204" priority="31" operator="equal">
      <formula>"อยู่ระหว่างการพิจารณา คุณลักษณะฯ"</formula>
    </cfRule>
  </conditionalFormatting>
  <conditionalFormatting sqref="A164:A198">
    <cfRule type="containsText" dxfId="203" priority="32" operator="containsText" text="ผ่านการพิจารณา รอ จก.ชย.ทอ.ลงนาม">
      <formula>NOT(ISERROR(SEARCH(("ผ่านการพิจารณา รอ จก.ชย.ทอ.ลงนาม"),(A164))))</formula>
    </cfRule>
  </conditionalFormatting>
  <conditionalFormatting sqref="A164:A198">
    <cfRule type="containsText" dxfId="202" priority="33" operator="containsText" text="รอการขอยกเลิกคุณลักษณะ">
      <formula>NOT(ISERROR(SEARCH(("รอการขอยกเลิกคุณลักษณะ"),(A164))))</formula>
    </cfRule>
  </conditionalFormatting>
  <conditionalFormatting sqref="A164:A198">
    <cfRule type="containsText" dxfId="201" priority="34" operator="containsText" text="ผ่านการพิจารณาคำแนะนำ รอ จก.ชย.ทอ.ลงนาม">
      <formula>NOT(ISERROR(SEARCH(("ผ่านการพิจารณาคำแนะนำ รอ จก.ชย.ทอ.ลงนาม"),(A164))))</formula>
    </cfRule>
  </conditionalFormatting>
  <conditionalFormatting sqref="A164:A198">
    <cfRule type="beginsWith" dxfId="200" priority="35" operator="beginsWith" text="เอกสารไม่พร้อม">
      <formula>LEFT((A164),LEN("เอกสารไม่พร้อม"))=("เอกสารไม่พร้อม")</formula>
    </cfRule>
  </conditionalFormatting>
  <conditionalFormatting sqref="A164:A198">
    <cfRule type="notContainsBlanks" dxfId="199" priority="36">
      <formula>LEN(TRIM(A164))&gt;0</formula>
    </cfRule>
  </conditionalFormatting>
  <conditionalFormatting sqref="A164:A198">
    <cfRule type="notContainsBlanks" dxfId="198" priority="37">
      <formula>LEN(TRIM(A164))&gt;0</formula>
    </cfRule>
  </conditionalFormatting>
  <conditionalFormatting sqref="T126:U127 T129:U132 T134:U163">
    <cfRule type="cellIs" dxfId="197" priority="38" operator="greaterThanOrEqual">
      <formula>2561</formula>
    </cfRule>
  </conditionalFormatting>
  <conditionalFormatting sqref="N126:P127 Q126:S163 N129:P132 N134:P163">
    <cfRule type="cellIs" dxfId="196" priority="39" operator="equal">
      <formula>1</formula>
    </cfRule>
  </conditionalFormatting>
  <conditionalFormatting sqref="N126:S163">
    <cfRule type="cellIs" dxfId="195" priority="40" operator="equal">
      <formula>"พร้อม"</formula>
    </cfRule>
  </conditionalFormatting>
  <conditionalFormatting sqref="H126:H127 H130:H133 H136 H139:H163">
    <cfRule type="containsBlanks" dxfId="194" priority="41">
      <formula>LEN(TRIM(H126))=0</formula>
    </cfRule>
  </conditionalFormatting>
  <conditionalFormatting sqref="G126:G127 G130:G133 G136 G139:G163">
    <cfRule type="containsBlanks" dxfId="193" priority="42">
      <formula>LEN(TRIM(G126))=0</formula>
    </cfRule>
  </conditionalFormatting>
  <conditionalFormatting sqref="A126:A163">
    <cfRule type="notContainsBlanks" dxfId="192" priority="43">
      <formula>LEN(TRIM(A126))&gt;0</formula>
    </cfRule>
  </conditionalFormatting>
  <conditionalFormatting sqref="A126:A163">
    <cfRule type="cellIs" dxfId="191" priority="44" operator="equal">
      <formula>"อยู่ระหว่างการพิจารณา คุณลักษณะฯ"</formula>
    </cfRule>
  </conditionalFormatting>
  <conditionalFormatting sqref="A126:A163">
    <cfRule type="containsText" dxfId="190" priority="45" operator="containsText" text="ผ่านการพิจารณา รอ จก.ชย.ทอ.ลงนาม">
      <formula>NOT(ISERROR(SEARCH(("ผ่านการพิจารณา รอ จก.ชย.ทอ.ลงนาม"),(A126))))</formula>
    </cfRule>
  </conditionalFormatting>
  <conditionalFormatting sqref="A126:A163">
    <cfRule type="containsText" dxfId="189" priority="46" operator="containsText" text="รอการขอยกเลิกคุณลักษณะ">
      <formula>NOT(ISERROR(SEARCH(("รอการขอยกเลิกคุณลักษณะ"),(A126))))</formula>
    </cfRule>
  </conditionalFormatting>
  <conditionalFormatting sqref="A126:A163">
    <cfRule type="containsText" dxfId="188" priority="47" operator="containsText" text="ผ่านการพิจารณาคำแนะนำ รอ จก.ชย.ทอ.ลงนาม">
      <formula>NOT(ISERROR(SEARCH(("ผ่านการพิจารณาคำแนะนำ รอ จก.ชย.ทอ.ลงนาม"),(A126))))</formula>
    </cfRule>
  </conditionalFormatting>
  <conditionalFormatting sqref="A126:A163">
    <cfRule type="beginsWith" dxfId="187" priority="48" operator="beginsWith" text="เอกสารไม่พร้อม">
      <formula>LEFT((A126),LEN("เอกสารไม่พร้อม"))=("เอกสารไม่พร้อม")</formula>
    </cfRule>
  </conditionalFormatting>
  <conditionalFormatting sqref="A126:A163">
    <cfRule type="notContainsBlanks" dxfId="186" priority="49">
      <formula>LEN(TRIM(A126))&gt;0</formula>
    </cfRule>
  </conditionalFormatting>
  <conditionalFormatting sqref="A126:A163">
    <cfRule type="notContainsBlanks" dxfId="185" priority="50">
      <formula>LEN(TRIM(A126))&gt;0</formula>
    </cfRule>
  </conditionalFormatting>
  <conditionalFormatting sqref="T114:U125">
    <cfRule type="cellIs" dxfId="184" priority="51" operator="greaterThanOrEqual">
      <formula>2561</formula>
    </cfRule>
  </conditionalFormatting>
  <conditionalFormatting sqref="Q114:S125 N114:P125">
    <cfRule type="cellIs" dxfId="183" priority="52" operator="equal">
      <formula>1</formula>
    </cfRule>
  </conditionalFormatting>
  <conditionalFormatting sqref="G114:G123">
    <cfRule type="containsBlanks" dxfId="182" priority="53">
      <formula>LEN(TRIM(G114))=0</formula>
    </cfRule>
  </conditionalFormatting>
  <conditionalFormatting sqref="N114:S125">
    <cfRule type="cellIs" dxfId="181" priority="54" operator="equal">
      <formula>"พร้อม"</formula>
    </cfRule>
  </conditionalFormatting>
  <conditionalFormatting sqref="H114:H123">
    <cfRule type="containsBlanks" dxfId="180" priority="55">
      <formula>LEN(TRIM(H114))=0</formula>
    </cfRule>
  </conditionalFormatting>
  <conditionalFormatting sqref="A114:A125">
    <cfRule type="notContainsBlanks" dxfId="179" priority="56">
      <formula>LEN(TRIM(A114))&gt;0</formula>
    </cfRule>
  </conditionalFormatting>
  <conditionalFormatting sqref="A114:A125">
    <cfRule type="cellIs" dxfId="178" priority="57" operator="equal">
      <formula>"อยู่ระหว่างการพิจารณา คุณลักษณะฯ"</formula>
    </cfRule>
  </conditionalFormatting>
  <conditionalFormatting sqref="A114:A125">
    <cfRule type="containsText" dxfId="177" priority="58" operator="containsText" text="ผ่านการพิจารณา รอ จก.ชย.ทอ.ลงนาม">
      <formula>NOT(ISERROR(SEARCH(("ผ่านการพิจารณา รอ จก.ชย.ทอ.ลงนาม"),(A114))))</formula>
    </cfRule>
  </conditionalFormatting>
  <conditionalFormatting sqref="A114:A125">
    <cfRule type="containsText" dxfId="176" priority="59" operator="containsText" text="รอการขอยกเลิกคุณลักษณะ">
      <formula>NOT(ISERROR(SEARCH(("รอการขอยกเลิกคุณลักษณะ"),(A114))))</formula>
    </cfRule>
  </conditionalFormatting>
  <conditionalFormatting sqref="A114:A125">
    <cfRule type="containsText" dxfId="175" priority="60" operator="containsText" text="ผ่านการพิจารณาคำแนะนำ รอ จก.ชย.ทอ.ลงนาม">
      <formula>NOT(ISERROR(SEARCH(("ผ่านการพิจารณาคำแนะนำ รอ จก.ชย.ทอ.ลงนาม"),(A114))))</formula>
    </cfRule>
  </conditionalFormatting>
  <conditionalFormatting sqref="A114:A125">
    <cfRule type="beginsWith" dxfId="174" priority="61" operator="beginsWith" text="เอกสารไม่พร้อม">
      <formula>LEFT((A114),LEN("เอกสารไม่พร้อม"))=("เอกสารไม่พร้อม")</formula>
    </cfRule>
  </conditionalFormatting>
  <conditionalFormatting sqref="A114:A125">
    <cfRule type="notContainsBlanks" dxfId="173" priority="62">
      <formula>LEN(TRIM(A114))&gt;0</formula>
    </cfRule>
  </conditionalFormatting>
  <conditionalFormatting sqref="A114:A125">
    <cfRule type="notContainsBlanks" dxfId="172" priority="63">
      <formula>LEN(TRIM(A114))&gt;0</formula>
    </cfRule>
  </conditionalFormatting>
  <conditionalFormatting sqref="N104:S113">
    <cfRule type="cellIs" dxfId="171" priority="64" operator="equal">
      <formula>"พร้อม"</formula>
    </cfRule>
  </conditionalFormatting>
  <conditionalFormatting sqref="N104:S113">
    <cfRule type="cellIs" dxfId="170" priority="65" operator="equal">
      <formula>1</formula>
    </cfRule>
  </conditionalFormatting>
  <conditionalFormatting sqref="T104:U113">
    <cfRule type="cellIs" dxfId="169" priority="66" operator="greaterThanOrEqual">
      <formula>2561</formula>
    </cfRule>
  </conditionalFormatting>
  <conditionalFormatting sqref="A104:A113">
    <cfRule type="notContainsBlanks" dxfId="168" priority="67">
      <formula>LEN(TRIM(A104))&gt;0</formula>
    </cfRule>
  </conditionalFormatting>
  <conditionalFormatting sqref="A104:A113">
    <cfRule type="cellIs" dxfId="167" priority="68" operator="equal">
      <formula>"อยู่ระหว่างการพิจารณา คุณลักษณะฯ"</formula>
    </cfRule>
  </conditionalFormatting>
  <conditionalFormatting sqref="A104:A113">
    <cfRule type="containsText" dxfId="166" priority="69" operator="containsText" text="ผ่านการพิจารณา รอ จก.ชย.ทอ.ลงนาม">
      <formula>NOT(ISERROR(SEARCH(("ผ่านการพิจารณา รอ จก.ชย.ทอ.ลงนาม"),(A104))))</formula>
    </cfRule>
  </conditionalFormatting>
  <conditionalFormatting sqref="A104:A113">
    <cfRule type="containsText" dxfId="165" priority="70" operator="containsText" text="รอการขอยกเลิกคุณลักษณะ">
      <formula>NOT(ISERROR(SEARCH(("รอการขอยกเลิกคุณลักษณะ"),(A104))))</formula>
    </cfRule>
  </conditionalFormatting>
  <conditionalFormatting sqref="A104:A113">
    <cfRule type="containsText" dxfId="164" priority="71" operator="containsText" text="ผ่านการพิจารณาคำแนะนำ รอ จก.ชย.ทอ.ลงนาม">
      <formula>NOT(ISERROR(SEARCH(("ผ่านการพิจารณาคำแนะนำ รอ จก.ชย.ทอ.ลงนาม"),(A104))))</formula>
    </cfRule>
  </conditionalFormatting>
  <conditionalFormatting sqref="A104:A113">
    <cfRule type="beginsWith" dxfId="163" priority="72" operator="beginsWith" text="เอกสารไม่พร้อม">
      <formula>LEFT((A104),LEN("เอกสารไม่พร้อม"))=("เอกสารไม่พร้อม")</formula>
    </cfRule>
  </conditionalFormatting>
  <conditionalFormatting sqref="A104:A113">
    <cfRule type="notContainsBlanks" dxfId="162" priority="73">
      <formula>LEN(TRIM(A104))&gt;0</formula>
    </cfRule>
  </conditionalFormatting>
  <conditionalFormatting sqref="A104:A113">
    <cfRule type="notContainsBlanks" dxfId="161" priority="74">
      <formula>LEN(TRIM(A104))&gt;0</formula>
    </cfRule>
  </conditionalFormatting>
  <conditionalFormatting sqref="G104:G113">
    <cfRule type="containsBlanks" dxfId="160" priority="75">
      <formula>LEN(TRIM(G104))=0</formula>
    </cfRule>
  </conditionalFormatting>
  <conditionalFormatting sqref="H104:H113">
    <cfRule type="containsBlanks" dxfId="159" priority="76">
      <formula>LEN(TRIM(H104))=0</formula>
    </cfRule>
  </conditionalFormatting>
  <conditionalFormatting sqref="A1">
    <cfRule type="cellIs" dxfId="158" priority="77" operator="equal">
      <formula>"อยู่ระหว่างการพิจารณา คุณลักษณะฯ"</formula>
    </cfRule>
  </conditionalFormatting>
  <conditionalFormatting sqref="A1">
    <cfRule type="containsText" dxfId="157" priority="78" operator="containsText" text="ผ่านการพิจารณา รอ จก.ชย.ทอ.ลงนาม">
      <formula>NOT(ISERROR(SEARCH(("ผ่านการพิจารณา รอ จก.ชย.ทอ.ลงนาม"),(A1))))</formula>
    </cfRule>
  </conditionalFormatting>
  <conditionalFormatting sqref="A1">
    <cfRule type="containsText" dxfId="156" priority="79" operator="containsText" text="รอการขอยกเลิกคุณลักษณะ">
      <formula>NOT(ISERROR(SEARCH(("รอการขอยกเลิกคุณลักษณะ"),(A1))))</formula>
    </cfRule>
  </conditionalFormatting>
  <conditionalFormatting sqref="A1">
    <cfRule type="containsText" dxfId="155" priority="80" operator="containsText" text="ผ่านการพิจารณาคำแนะนำ รอ จก.ชย.ทอ.ลงนาม">
      <formula>NOT(ISERROR(SEARCH(("ผ่านการพิจารณาคำแนะนำ รอ จก.ชย.ทอ.ลงนาม"),(A1))))</formula>
    </cfRule>
  </conditionalFormatting>
  <conditionalFormatting sqref="A1">
    <cfRule type="beginsWith" dxfId="154" priority="81" operator="beginsWith" text="เอกสารไม่พร้อม">
      <formula>LEFT((A1),LEN("เอกสารไม่พร้อม"))=("เอกสารไม่พร้อม")</formula>
    </cfRule>
  </conditionalFormatting>
  <conditionalFormatting sqref="T1:U1">
    <cfRule type="cellIs" dxfId="153" priority="82" operator="greaterThanOrEqual">
      <formula>2561</formula>
    </cfRule>
  </conditionalFormatting>
  <conditionalFormatting sqref="A1">
    <cfRule type="notContainsBlanks" dxfId="152" priority="83">
      <formula>LEN(TRIM(A1))&gt;0</formula>
    </cfRule>
  </conditionalFormatting>
  <conditionalFormatting sqref="A1">
    <cfRule type="notContainsBlanks" dxfId="151" priority="84">
      <formula>LEN(TRIM(A1))&gt;0</formula>
    </cfRule>
  </conditionalFormatting>
  <conditionalFormatting sqref="N1:S1">
    <cfRule type="cellIs" dxfId="150" priority="85" operator="equal">
      <formula>1</formula>
    </cfRule>
  </conditionalFormatting>
  <printOptions horizontalCentered="1" gridLines="1"/>
  <pageMargins left="0.36365118008373154" right="0.36377952755905513" top="0.2309192948727011" bottom="0.30439361596856057" header="0" footer="0"/>
  <pageSetup paperSize="9" fitToHeight="0" pageOrder="overThenDown" orientation="landscape" cellComments="atEnd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outlinePr summaryBelow="0" summaryRight="0"/>
    <pageSetUpPr fitToPage="1"/>
  </sheetPr>
  <dimension ref="A1:F53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defaultColWidth="14.42578125" defaultRowHeight="15.75" customHeight="1"/>
  <cols>
    <col min="1" max="1" width="8" customWidth="1"/>
    <col min="2" max="2" width="10.42578125" customWidth="1"/>
    <col min="3" max="3" width="10.85546875" customWidth="1"/>
    <col min="4" max="4" width="6.42578125" customWidth="1"/>
    <col min="5" max="5" width="63.7109375" customWidth="1"/>
    <col min="6" max="6" width="40" customWidth="1"/>
  </cols>
  <sheetData>
    <row r="1" spans="1:6" ht="36.75" customHeight="1">
      <c r="A1" s="99" t="s">
        <v>713</v>
      </c>
      <c r="B1" s="99" t="s">
        <v>2</v>
      </c>
      <c r="C1" s="99" t="s">
        <v>3</v>
      </c>
      <c r="D1" s="99" t="s">
        <v>4</v>
      </c>
      <c r="E1" s="99" t="s">
        <v>5</v>
      </c>
      <c r="F1" s="99" t="s">
        <v>11</v>
      </c>
    </row>
    <row r="2" spans="1:6" ht="18.75">
      <c r="A2" s="100">
        <v>1</v>
      </c>
      <c r="B2" s="100" t="s">
        <v>683</v>
      </c>
      <c r="C2" s="102" t="s">
        <v>719</v>
      </c>
      <c r="D2" s="100">
        <v>54</v>
      </c>
      <c r="E2" s="103" t="s">
        <v>720</v>
      </c>
      <c r="F2" s="103" t="s">
        <v>721</v>
      </c>
    </row>
    <row r="3" spans="1:6" ht="18.75">
      <c r="A3" s="100">
        <f t="shared" ref="A3:A53" si="0">1+A2</f>
        <v>2</v>
      </c>
      <c r="B3" s="100" t="s">
        <v>683</v>
      </c>
      <c r="C3" s="102" t="s">
        <v>723</v>
      </c>
      <c r="D3" s="100">
        <v>53</v>
      </c>
      <c r="E3" s="103" t="s">
        <v>685</v>
      </c>
      <c r="F3" s="103" t="s">
        <v>725</v>
      </c>
    </row>
    <row r="4" spans="1:6" ht="18.75">
      <c r="A4" s="100">
        <f t="shared" si="0"/>
        <v>3</v>
      </c>
      <c r="B4" s="100" t="s">
        <v>683</v>
      </c>
      <c r="C4" s="102" t="s">
        <v>726</v>
      </c>
      <c r="D4" s="100">
        <v>54</v>
      </c>
      <c r="E4" s="103" t="s">
        <v>687</v>
      </c>
      <c r="F4" s="103" t="s">
        <v>725</v>
      </c>
    </row>
    <row r="5" spans="1:6" ht="18.75">
      <c r="A5" s="100">
        <f t="shared" si="0"/>
        <v>4</v>
      </c>
      <c r="B5" s="100" t="s">
        <v>683</v>
      </c>
      <c r="C5" s="102" t="s">
        <v>727</v>
      </c>
      <c r="D5" s="100">
        <v>54</v>
      </c>
      <c r="E5" s="103" t="s">
        <v>728</v>
      </c>
      <c r="F5" s="103" t="s">
        <v>729</v>
      </c>
    </row>
    <row r="6" spans="1:6" ht="18.75">
      <c r="A6" s="100">
        <f t="shared" si="0"/>
        <v>5</v>
      </c>
      <c r="B6" s="100" t="s">
        <v>683</v>
      </c>
      <c r="C6" s="102" t="s">
        <v>730</v>
      </c>
      <c r="D6" s="100">
        <v>54</v>
      </c>
      <c r="E6" s="103" t="s">
        <v>731</v>
      </c>
      <c r="F6" s="103" t="s">
        <v>729</v>
      </c>
    </row>
    <row r="7" spans="1:6" ht="18.75">
      <c r="A7" s="100">
        <f t="shared" si="0"/>
        <v>6</v>
      </c>
      <c r="B7" s="100" t="s">
        <v>683</v>
      </c>
      <c r="C7" s="102" t="s">
        <v>732</v>
      </c>
      <c r="D7" s="100">
        <v>53</v>
      </c>
      <c r="E7" s="103" t="s">
        <v>733</v>
      </c>
      <c r="F7" s="103" t="s">
        <v>729</v>
      </c>
    </row>
    <row r="8" spans="1:6" ht="18.75">
      <c r="A8" s="100">
        <f t="shared" si="0"/>
        <v>7</v>
      </c>
      <c r="B8" s="100" t="s">
        <v>683</v>
      </c>
      <c r="C8" s="102" t="s">
        <v>734</v>
      </c>
      <c r="D8" s="100">
        <v>59</v>
      </c>
      <c r="E8" s="103" t="s">
        <v>735</v>
      </c>
      <c r="F8" s="103" t="s">
        <v>725</v>
      </c>
    </row>
    <row r="9" spans="1:6" ht="18.75">
      <c r="A9" s="100">
        <f t="shared" si="0"/>
        <v>8</v>
      </c>
      <c r="B9" s="100" t="s">
        <v>683</v>
      </c>
      <c r="C9" s="102" t="s">
        <v>736</v>
      </c>
      <c r="D9" s="100">
        <v>54</v>
      </c>
      <c r="E9" s="103" t="s">
        <v>737</v>
      </c>
      <c r="F9" s="103" t="s">
        <v>725</v>
      </c>
    </row>
    <row r="10" spans="1:6" ht="18.75">
      <c r="A10" s="100">
        <f t="shared" si="0"/>
        <v>9</v>
      </c>
      <c r="B10" s="100" t="s">
        <v>683</v>
      </c>
      <c r="C10" s="102" t="s">
        <v>740</v>
      </c>
      <c r="D10" s="100">
        <v>59</v>
      </c>
      <c r="E10" s="103" t="s">
        <v>741</v>
      </c>
      <c r="F10" s="103" t="s">
        <v>742</v>
      </c>
    </row>
    <row r="11" spans="1:6" ht="18.75">
      <c r="A11" s="100">
        <f t="shared" si="0"/>
        <v>10</v>
      </c>
      <c r="B11" s="100" t="s">
        <v>683</v>
      </c>
      <c r="C11" s="102" t="s">
        <v>743</v>
      </c>
      <c r="D11" s="100">
        <v>54</v>
      </c>
      <c r="E11" s="103" t="s">
        <v>741</v>
      </c>
      <c r="F11" s="103" t="s">
        <v>742</v>
      </c>
    </row>
    <row r="12" spans="1:6" ht="18.75">
      <c r="A12" s="100">
        <f t="shared" si="0"/>
        <v>11</v>
      </c>
      <c r="B12" s="100" t="s">
        <v>683</v>
      </c>
      <c r="C12" s="102" t="s">
        <v>744</v>
      </c>
      <c r="D12" s="100">
        <v>54</v>
      </c>
      <c r="E12" s="103" t="s">
        <v>745</v>
      </c>
      <c r="F12" s="103" t="s">
        <v>746</v>
      </c>
    </row>
    <row r="13" spans="1:6" ht="18.75">
      <c r="A13" s="100">
        <f t="shared" si="0"/>
        <v>12</v>
      </c>
      <c r="B13" s="100" t="s">
        <v>683</v>
      </c>
      <c r="C13" s="102" t="s">
        <v>747</v>
      </c>
      <c r="D13" s="100">
        <v>60</v>
      </c>
      <c r="E13" s="103" t="s">
        <v>745</v>
      </c>
      <c r="F13" s="103" t="s">
        <v>746</v>
      </c>
    </row>
    <row r="14" spans="1:6" ht="18.75">
      <c r="A14" s="100">
        <f t="shared" si="0"/>
        <v>13</v>
      </c>
      <c r="B14" s="100" t="s">
        <v>683</v>
      </c>
      <c r="C14" s="102" t="s">
        <v>748</v>
      </c>
      <c r="D14" s="100">
        <v>52</v>
      </c>
      <c r="E14" s="103" t="s">
        <v>750</v>
      </c>
      <c r="F14" s="103" t="s">
        <v>729</v>
      </c>
    </row>
    <row r="15" spans="1:6" ht="18.75">
      <c r="A15" s="100">
        <f t="shared" si="0"/>
        <v>14</v>
      </c>
      <c r="B15" s="100" t="s">
        <v>683</v>
      </c>
      <c r="C15" s="102" t="s">
        <v>752</v>
      </c>
      <c r="D15" s="100">
        <v>59</v>
      </c>
      <c r="E15" s="103" t="s">
        <v>753</v>
      </c>
      <c r="F15" s="103" t="s">
        <v>754</v>
      </c>
    </row>
    <row r="16" spans="1:6" ht="18.75">
      <c r="A16" s="100">
        <f t="shared" si="0"/>
        <v>15</v>
      </c>
      <c r="B16" s="100" t="s">
        <v>683</v>
      </c>
      <c r="C16" s="102" t="s">
        <v>755</v>
      </c>
      <c r="D16" s="100">
        <v>58</v>
      </c>
      <c r="E16" s="103" t="s">
        <v>693</v>
      </c>
      <c r="F16" s="103" t="s">
        <v>756</v>
      </c>
    </row>
    <row r="17" spans="1:6" ht="18.75">
      <c r="A17" s="100">
        <f t="shared" si="0"/>
        <v>16</v>
      </c>
      <c r="B17" s="100" t="s">
        <v>683</v>
      </c>
      <c r="C17" s="102" t="s">
        <v>757</v>
      </c>
      <c r="D17" s="100">
        <v>58</v>
      </c>
      <c r="E17" s="103" t="s">
        <v>693</v>
      </c>
      <c r="F17" s="103" t="s">
        <v>756</v>
      </c>
    </row>
    <row r="18" spans="1:6" ht="18.75">
      <c r="A18" s="100">
        <f t="shared" si="0"/>
        <v>17</v>
      </c>
      <c r="B18" s="100" t="s">
        <v>683</v>
      </c>
      <c r="C18" s="102" t="s">
        <v>717</v>
      </c>
      <c r="D18" s="100">
        <v>57</v>
      </c>
      <c r="E18" s="103" t="s">
        <v>697</v>
      </c>
      <c r="F18" s="103" t="s">
        <v>758</v>
      </c>
    </row>
    <row r="19" spans="1:6" ht="18.75">
      <c r="A19" s="100">
        <f t="shared" si="0"/>
        <v>18</v>
      </c>
      <c r="B19" s="100" t="s">
        <v>683</v>
      </c>
      <c r="C19" s="102" t="s">
        <v>759</v>
      </c>
      <c r="D19" s="100">
        <v>55</v>
      </c>
      <c r="E19" s="103" t="s">
        <v>699</v>
      </c>
      <c r="F19" s="103" t="s">
        <v>760</v>
      </c>
    </row>
    <row r="20" spans="1:6" ht="18.75">
      <c r="A20" s="100">
        <f t="shared" si="0"/>
        <v>19</v>
      </c>
      <c r="B20" s="100" t="s">
        <v>683</v>
      </c>
      <c r="C20" s="102" t="s">
        <v>761</v>
      </c>
      <c r="D20" s="100">
        <v>57</v>
      </c>
      <c r="E20" s="103" t="s">
        <v>762</v>
      </c>
      <c r="F20" s="103" t="s">
        <v>760</v>
      </c>
    </row>
    <row r="21" spans="1:6" ht="18.75">
      <c r="A21" s="100">
        <f t="shared" si="0"/>
        <v>20</v>
      </c>
      <c r="B21" s="100" t="s">
        <v>683</v>
      </c>
      <c r="C21" s="102" t="s">
        <v>765</v>
      </c>
      <c r="D21" s="100">
        <v>53</v>
      </c>
      <c r="E21" s="103" t="s">
        <v>766</v>
      </c>
      <c r="F21" s="103" t="s">
        <v>729</v>
      </c>
    </row>
    <row r="22" spans="1:6" ht="18.75">
      <c r="A22" s="100">
        <f t="shared" si="0"/>
        <v>21</v>
      </c>
      <c r="B22" s="100" t="s">
        <v>683</v>
      </c>
      <c r="C22" s="102" t="s">
        <v>767</v>
      </c>
      <c r="D22" s="100">
        <v>54</v>
      </c>
      <c r="E22" s="103" t="s">
        <v>768</v>
      </c>
      <c r="F22" s="103" t="s">
        <v>769</v>
      </c>
    </row>
    <row r="23" spans="1:6" ht="18.75">
      <c r="A23" s="100">
        <f t="shared" si="0"/>
        <v>22</v>
      </c>
      <c r="B23" s="100" t="s">
        <v>683</v>
      </c>
      <c r="C23" s="102" t="s">
        <v>770</v>
      </c>
      <c r="D23" s="100">
        <v>54</v>
      </c>
      <c r="E23" s="103" t="s">
        <v>771</v>
      </c>
      <c r="F23" s="103" t="s">
        <v>772</v>
      </c>
    </row>
    <row r="24" spans="1:6" ht="18.75">
      <c r="A24" s="100">
        <f t="shared" si="0"/>
        <v>23</v>
      </c>
      <c r="B24" s="100" t="s">
        <v>256</v>
      </c>
      <c r="C24" s="102" t="s">
        <v>773</v>
      </c>
      <c r="D24" s="100">
        <v>52</v>
      </c>
      <c r="E24" s="103" t="s">
        <v>152</v>
      </c>
      <c r="F24" s="103" t="s">
        <v>774</v>
      </c>
    </row>
    <row r="25" spans="1:6" ht="18.75">
      <c r="A25" s="100">
        <f t="shared" si="0"/>
        <v>24</v>
      </c>
      <c r="B25" s="100" t="s">
        <v>256</v>
      </c>
      <c r="C25" s="102" t="s">
        <v>777</v>
      </c>
      <c r="D25" s="100">
        <v>57</v>
      </c>
      <c r="E25" s="103" t="s">
        <v>778</v>
      </c>
      <c r="F25" s="103" t="s">
        <v>760</v>
      </c>
    </row>
    <row r="26" spans="1:6" ht="18.75">
      <c r="A26" s="100">
        <f t="shared" si="0"/>
        <v>25</v>
      </c>
      <c r="B26" s="100" t="s">
        <v>256</v>
      </c>
      <c r="C26" s="102" t="s">
        <v>779</v>
      </c>
      <c r="D26" s="100">
        <v>58</v>
      </c>
      <c r="E26" s="103" t="s">
        <v>468</v>
      </c>
      <c r="F26" s="103" t="s">
        <v>780</v>
      </c>
    </row>
    <row r="27" spans="1:6" ht="18.75">
      <c r="A27" s="100">
        <f t="shared" si="0"/>
        <v>26</v>
      </c>
      <c r="B27" s="100" t="s">
        <v>37</v>
      </c>
      <c r="C27" s="102" t="s">
        <v>781</v>
      </c>
      <c r="D27" s="100">
        <v>53</v>
      </c>
      <c r="E27" s="103" t="s">
        <v>782</v>
      </c>
      <c r="F27" s="103" t="s">
        <v>783</v>
      </c>
    </row>
    <row r="28" spans="1:6" ht="18.75">
      <c r="A28" s="100">
        <f t="shared" si="0"/>
        <v>27</v>
      </c>
      <c r="B28" s="100" t="s">
        <v>37</v>
      </c>
      <c r="C28" s="102" t="s">
        <v>784</v>
      </c>
      <c r="D28" s="100">
        <v>59</v>
      </c>
      <c r="E28" s="103" t="s">
        <v>785</v>
      </c>
      <c r="F28" s="103" t="s">
        <v>729</v>
      </c>
    </row>
    <row r="29" spans="1:6" ht="18.75">
      <c r="A29" s="100">
        <f t="shared" si="0"/>
        <v>28</v>
      </c>
      <c r="B29" s="100" t="s">
        <v>37</v>
      </c>
      <c r="C29" s="102" t="s">
        <v>786</v>
      </c>
      <c r="D29" s="100">
        <v>55</v>
      </c>
      <c r="E29" s="103" t="s">
        <v>787</v>
      </c>
      <c r="F29" s="103" t="s">
        <v>788</v>
      </c>
    </row>
    <row r="30" spans="1:6" ht="18.75">
      <c r="A30" s="100">
        <f t="shared" si="0"/>
        <v>29</v>
      </c>
      <c r="B30" s="100" t="s">
        <v>37</v>
      </c>
      <c r="C30" s="102" t="s">
        <v>789</v>
      </c>
      <c r="D30" s="100">
        <v>58</v>
      </c>
      <c r="E30" s="103" t="s">
        <v>790</v>
      </c>
      <c r="F30" s="103" t="s">
        <v>729</v>
      </c>
    </row>
    <row r="31" spans="1:6" ht="18.75">
      <c r="A31" s="100">
        <f t="shared" si="0"/>
        <v>30</v>
      </c>
      <c r="B31" s="100" t="s">
        <v>37</v>
      </c>
      <c r="C31" s="102" t="s">
        <v>793</v>
      </c>
      <c r="D31" s="100">
        <v>55</v>
      </c>
      <c r="E31" s="103" t="s">
        <v>794</v>
      </c>
      <c r="F31" s="103" t="s">
        <v>729</v>
      </c>
    </row>
    <row r="32" spans="1:6" ht="18.75">
      <c r="A32" s="100">
        <f t="shared" si="0"/>
        <v>31</v>
      </c>
      <c r="B32" s="100" t="s">
        <v>37</v>
      </c>
      <c r="C32" s="102" t="s">
        <v>795</v>
      </c>
      <c r="D32" s="100">
        <v>59</v>
      </c>
      <c r="E32" s="103" t="s">
        <v>796</v>
      </c>
      <c r="F32" s="103" t="s">
        <v>729</v>
      </c>
    </row>
    <row r="33" spans="1:6" ht="18.75">
      <c r="A33" s="100">
        <f t="shared" si="0"/>
        <v>32</v>
      </c>
      <c r="B33" s="100" t="s">
        <v>37</v>
      </c>
      <c r="C33" s="100" t="s">
        <v>797</v>
      </c>
      <c r="D33" s="100">
        <v>53</v>
      </c>
      <c r="E33" s="103" t="s">
        <v>41</v>
      </c>
      <c r="F33" s="103" t="s">
        <v>798</v>
      </c>
    </row>
    <row r="34" spans="1:6" ht="18.75">
      <c r="A34" s="100">
        <f t="shared" si="0"/>
        <v>33</v>
      </c>
      <c r="B34" s="100" t="s">
        <v>37</v>
      </c>
      <c r="C34" s="102" t="s">
        <v>801</v>
      </c>
      <c r="D34" s="100">
        <v>58</v>
      </c>
      <c r="E34" s="103" t="s">
        <v>41</v>
      </c>
      <c r="F34" s="103" t="s">
        <v>798</v>
      </c>
    </row>
    <row r="35" spans="1:6" ht="18.75">
      <c r="A35" s="100">
        <f t="shared" si="0"/>
        <v>34</v>
      </c>
      <c r="B35" s="100" t="s">
        <v>37</v>
      </c>
      <c r="C35" s="102" t="s">
        <v>802</v>
      </c>
      <c r="D35" s="100">
        <v>58</v>
      </c>
      <c r="E35" s="103" t="s">
        <v>60</v>
      </c>
      <c r="F35" s="103" t="s">
        <v>803</v>
      </c>
    </row>
    <row r="36" spans="1:6" ht="18.75">
      <c r="A36" s="100">
        <f t="shared" si="0"/>
        <v>35</v>
      </c>
      <c r="B36" s="100" t="s">
        <v>157</v>
      </c>
      <c r="C36" s="102" t="s">
        <v>804</v>
      </c>
      <c r="D36" s="100">
        <v>58</v>
      </c>
      <c r="E36" s="103" t="s">
        <v>675</v>
      </c>
      <c r="F36" s="103" t="s">
        <v>805</v>
      </c>
    </row>
    <row r="37" spans="1:6" ht="18.75">
      <c r="A37" s="100">
        <f t="shared" si="0"/>
        <v>36</v>
      </c>
      <c r="B37" s="100" t="s">
        <v>157</v>
      </c>
      <c r="C37" s="102" t="s">
        <v>806</v>
      </c>
      <c r="D37" s="100">
        <v>58</v>
      </c>
      <c r="E37" s="103" t="s">
        <v>807</v>
      </c>
      <c r="F37" s="103" t="s">
        <v>809</v>
      </c>
    </row>
    <row r="38" spans="1:6" ht="37.5">
      <c r="A38" s="100">
        <f t="shared" si="0"/>
        <v>37</v>
      </c>
      <c r="B38" s="100" t="s">
        <v>157</v>
      </c>
      <c r="C38" s="102" t="s">
        <v>637</v>
      </c>
      <c r="D38" s="100">
        <v>58</v>
      </c>
      <c r="E38" s="103" t="s">
        <v>811</v>
      </c>
      <c r="F38" s="103" t="s">
        <v>812</v>
      </c>
    </row>
    <row r="39" spans="1:6" ht="16.5" customHeight="1">
      <c r="A39" s="100">
        <f t="shared" si="0"/>
        <v>38</v>
      </c>
      <c r="B39" s="100" t="s">
        <v>372</v>
      </c>
      <c r="C39" s="102" t="s">
        <v>813</v>
      </c>
      <c r="D39" s="100">
        <v>55</v>
      </c>
      <c r="E39" s="103" t="s">
        <v>376</v>
      </c>
      <c r="F39" s="103" t="s">
        <v>815</v>
      </c>
    </row>
    <row r="40" spans="1:6" ht="18.75">
      <c r="A40" s="100">
        <f t="shared" si="0"/>
        <v>39</v>
      </c>
      <c r="B40" s="100" t="s">
        <v>372</v>
      </c>
      <c r="C40" s="102" t="s">
        <v>816</v>
      </c>
      <c r="D40" s="100">
        <v>52</v>
      </c>
      <c r="E40" s="103" t="s">
        <v>817</v>
      </c>
      <c r="F40" s="103" t="s">
        <v>818</v>
      </c>
    </row>
    <row r="41" spans="1:6" ht="18.75">
      <c r="A41" s="100">
        <f t="shared" si="0"/>
        <v>40</v>
      </c>
      <c r="B41" s="100" t="s">
        <v>372</v>
      </c>
      <c r="C41" s="102" t="s">
        <v>820</v>
      </c>
      <c r="D41" s="100">
        <v>60</v>
      </c>
      <c r="E41" s="103" t="s">
        <v>821</v>
      </c>
      <c r="F41" s="103" t="s">
        <v>822</v>
      </c>
    </row>
    <row r="42" spans="1:6" ht="37.5">
      <c r="A42" s="100">
        <f t="shared" si="0"/>
        <v>41</v>
      </c>
      <c r="B42" s="100" t="s">
        <v>372</v>
      </c>
      <c r="C42" s="102" t="s">
        <v>823</v>
      </c>
      <c r="D42" s="100">
        <v>52</v>
      </c>
      <c r="E42" s="103" t="s">
        <v>824</v>
      </c>
      <c r="F42" s="103" t="s">
        <v>825</v>
      </c>
    </row>
    <row r="43" spans="1:6" ht="18.75">
      <c r="A43" s="100">
        <f t="shared" si="0"/>
        <v>42</v>
      </c>
      <c r="B43" s="100" t="s">
        <v>372</v>
      </c>
      <c r="C43" s="102" t="s">
        <v>826</v>
      </c>
      <c r="D43" s="100">
        <v>61</v>
      </c>
      <c r="E43" s="103" t="s">
        <v>827</v>
      </c>
      <c r="F43" s="103" t="s">
        <v>828</v>
      </c>
    </row>
    <row r="44" spans="1:6" ht="18.75">
      <c r="A44" s="100">
        <f t="shared" si="0"/>
        <v>43</v>
      </c>
      <c r="B44" s="100" t="s">
        <v>63</v>
      </c>
      <c r="C44" s="102" t="s">
        <v>829</v>
      </c>
      <c r="D44" s="100">
        <v>59</v>
      </c>
      <c r="E44" s="103" t="s">
        <v>830</v>
      </c>
      <c r="F44" s="103" t="s">
        <v>831</v>
      </c>
    </row>
    <row r="45" spans="1:6" ht="18.75">
      <c r="A45" s="100">
        <f t="shared" si="0"/>
        <v>44</v>
      </c>
      <c r="B45" s="100" t="s">
        <v>63</v>
      </c>
      <c r="C45" s="102" t="s">
        <v>832</v>
      </c>
      <c r="D45" s="100">
        <v>57</v>
      </c>
      <c r="E45" s="103" t="s">
        <v>422</v>
      </c>
      <c r="F45" s="103" t="s">
        <v>833</v>
      </c>
    </row>
    <row r="46" spans="1:6" ht="18.75">
      <c r="A46" s="100">
        <f t="shared" si="0"/>
        <v>45</v>
      </c>
      <c r="B46" s="100" t="s">
        <v>63</v>
      </c>
      <c r="C46" s="100" t="s">
        <v>834</v>
      </c>
      <c r="D46" s="100">
        <v>52</v>
      </c>
      <c r="E46" s="103" t="s">
        <v>835</v>
      </c>
      <c r="F46" s="103" t="s">
        <v>836</v>
      </c>
    </row>
    <row r="47" spans="1:6" ht="18.75">
      <c r="A47" s="100">
        <f t="shared" si="0"/>
        <v>46</v>
      </c>
      <c r="B47" s="100" t="s">
        <v>63</v>
      </c>
      <c r="C47" s="102" t="s">
        <v>839</v>
      </c>
      <c r="D47" s="100">
        <v>60</v>
      </c>
      <c r="E47" s="109" t="s">
        <v>840</v>
      </c>
      <c r="F47" s="109" t="s">
        <v>841</v>
      </c>
    </row>
    <row r="48" spans="1:6" ht="18.75">
      <c r="A48" s="100">
        <f t="shared" si="0"/>
        <v>47</v>
      </c>
      <c r="B48" s="100" t="s">
        <v>63</v>
      </c>
      <c r="C48" s="102" t="s">
        <v>842</v>
      </c>
      <c r="D48" s="100">
        <v>59</v>
      </c>
      <c r="E48" s="103" t="s">
        <v>843</v>
      </c>
      <c r="F48" s="110" t="s">
        <v>844</v>
      </c>
    </row>
    <row r="49" spans="1:6" ht="18.75">
      <c r="A49" s="100">
        <f t="shared" si="0"/>
        <v>48</v>
      </c>
      <c r="B49" s="100" t="s">
        <v>63</v>
      </c>
      <c r="C49" s="102" t="s">
        <v>845</v>
      </c>
      <c r="D49" s="100">
        <v>57</v>
      </c>
      <c r="E49" s="103" t="s">
        <v>145</v>
      </c>
      <c r="F49" s="103" t="s">
        <v>846</v>
      </c>
    </row>
    <row r="50" spans="1:6" ht="18.75">
      <c r="A50" s="100">
        <f t="shared" si="0"/>
        <v>49</v>
      </c>
      <c r="B50" s="100" t="s">
        <v>63</v>
      </c>
      <c r="C50" s="102" t="s">
        <v>847</v>
      </c>
      <c r="D50" s="100">
        <v>54</v>
      </c>
      <c r="E50" s="103" t="s">
        <v>848</v>
      </c>
      <c r="F50" s="103" t="s">
        <v>849</v>
      </c>
    </row>
    <row r="51" spans="1:6" ht="18.75">
      <c r="A51" s="100">
        <f t="shared" si="0"/>
        <v>50</v>
      </c>
      <c r="B51" s="100" t="s">
        <v>191</v>
      </c>
      <c r="C51" s="102" t="s">
        <v>852</v>
      </c>
      <c r="D51" s="100">
        <v>54</v>
      </c>
      <c r="E51" s="103" t="s">
        <v>853</v>
      </c>
      <c r="F51" s="103" t="s">
        <v>854</v>
      </c>
    </row>
    <row r="52" spans="1:6" ht="18.75">
      <c r="A52" s="100">
        <f t="shared" si="0"/>
        <v>51</v>
      </c>
      <c r="B52" s="100" t="s">
        <v>191</v>
      </c>
      <c r="C52" s="102" t="s">
        <v>855</v>
      </c>
      <c r="D52" s="100">
        <v>56</v>
      </c>
      <c r="E52" s="103" t="s">
        <v>856</v>
      </c>
      <c r="F52" s="103" t="s">
        <v>857</v>
      </c>
    </row>
    <row r="53" spans="1:6" ht="18.75">
      <c r="A53" s="100">
        <f t="shared" si="0"/>
        <v>52</v>
      </c>
      <c r="B53" s="100" t="s">
        <v>191</v>
      </c>
      <c r="C53" s="102" t="s">
        <v>858</v>
      </c>
      <c r="D53" s="100">
        <v>58</v>
      </c>
      <c r="E53" s="103" t="s">
        <v>859</v>
      </c>
      <c r="F53" s="103" t="s">
        <v>860</v>
      </c>
    </row>
  </sheetData>
  <autoFilter ref="A1:F53" xr:uid="{00000000-0009-0000-0000-000008000000}"/>
  <dataValidations count="1">
    <dataValidation type="list" allowBlank="1" sqref="B2:B53" xr:uid="{00000000-0002-0000-0800-000000000000}">
      <formula1>"กวก.ฯ,กอค.ฯ,กสน.ฯ,กรง.ฯ,กดก.ฯ,กปภ.ฯ,กฟฟ.ฯ,ชย.ทอ."</formula1>
    </dataValidation>
  </dataValidations>
  <printOptions horizontalCentered="1" gridLines="1"/>
  <pageMargins left="0.30439361596856057" right="0.2309192948727011" top="0.36365118008373154" bottom="0.36377952755905513" header="0" footer="0"/>
  <pageSetup paperSize="9"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33</vt:i4>
      </vt:variant>
      <vt:variant>
        <vt:lpstr>ช่วงที่มีชื่อ</vt:lpstr>
      </vt:variant>
      <vt:variant>
        <vt:i4>1</vt:i4>
      </vt:variant>
    </vt:vector>
  </HeadingPairs>
  <TitlesOfParts>
    <vt:vector size="34" baseType="lpstr">
      <vt:lpstr>52-62 (2)</vt:lpstr>
      <vt:lpstr>52-60 (2)</vt:lpstr>
      <vt:lpstr>52-60</vt:lpstr>
      <vt:lpstr>Sheet2</vt:lpstr>
      <vt:lpstr>ปรับปรุง ปี 63-1</vt:lpstr>
      <vt:lpstr>ปรับปรุง ปี 63-2 ฉบับจริง</vt:lpstr>
      <vt:lpstr>ปรับปรุง ปี 63-3 (ก.ค.)</vt:lpstr>
      <vt:lpstr>สำหรับพัสดุสายอื่นๆ </vt:lpstr>
      <vt:lpstr>แผ่น33</vt:lpstr>
      <vt:lpstr>52-62 (สำหรับ จก.ตรวจเยี่ยม)</vt:lpstr>
      <vt:lpstr>สำเนาของ 52-62 (สำหรับ จก.ตรวจเ</vt:lpstr>
      <vt:lpstr>ตรวจเช็คความพร้อม</vt:lpstr>
      <vt:lpstr>ตรวจสอบเลขคุณลักษณะ</vt:lpstr>
      <vt:lpstr>คู่มือการใช้งาน</vt:lpstr>
      <vt:lpstr>คู่มือการใช้งานสำหรับผู้ดูแลระบ</vt:lpstr>
      <vt:lpstr>การจัดทำ spec.</vt:lpstr>
      <vt:lpstr>ตรวจสอบอักขระ</vt:lpstr>
      <vt:lpstr>ใบปะหน้า</vt:lpstr>
      <vt:lpstr>filter-1</vt:lpstr>
      <vt:lpstr>Spec ที่ยกเลิกแล้ว</vt:lpstr>
      <vt:lpstr>เลขSpec.2 ตัวแรก</vt:lpstr>
      <vt:lpstr>จำแนกข้อมูล</vt:lpstr>
      <vt:lpstr>SPEC รอพิจารณา</vt:lpstr>
      <vt:lpstr>มาตรฐานต่างๆ</vt:lpstr>
      <vt:lpstr>สถิติประชุม ปี 60 </vt:lpstr>
      <vt:lpstr>สถิติประชุม Spec. ปี 61</vt:lpstr>
      <vt:lpstr>สถิติประชุม Spec. ปี 62</vt:lpstr>
      <vt:lpstr>back up ข้อมูลสำนักงบ</vt:lpstr>
      <vt:lpstr>สถิติประชุมคำแนะนำ ปี 60</vt:lpstr>
      <vt:lpstr>สถิติประชุมคำแนะนำ ปี 61</vt:lpstr>
      <vt:lpstr>สถิติประชุมคำแนะนำ ปี 62</vt:lpstr>
      <vt:lpstr>Link รายชื่อ</vt:lpstr>
      <vt:lpstr>บันทึกปัญหาที่พบ</vt:lpstr>
      <vt:lpstr>'52-62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</dc:creator>
  <cp:lastModifiedBy>Windows User</cp:lastModifiedBy>
  <cp:lastPrinted>2020-08-18T01:18:08Z</cp:lastPrinted>
  <dcterms:created xsi:type="dcterms:W3CDTF">2019-03-06T12:36:33Z</dcterms:created>
  <dcterms:modified xsi:type="dcterms:W3CDTF">2020-08-18T01:34:23Z</dcterms:modified>
</cp:coreProperties>
</file>